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\Dropbox\Reliable Property Development\G&amp;A\Analysis Sheets\"/>
    </mc:Choice>
  </mc:AlternateContent>
  <xr:revisionPtr revIDLastSave="0" documentId="13_ncr:1_{798D15B5-5EEE-4658-9B02-8E2106EB718E}" xr6:coauthVersionLast="47" xr6:coauthVersionMax="47" xr10:uidLastSave="{00000000-0000-0000-0000-000000000000}"/>
  <bookViews>
    <workbookView xWindow="-96" yWindow="-96" windowWidth="23232" windowHeight="12432" tabRatio="753" firstSheet="1" activeTab="1" xr2:uid="{00000000-000D-0000-FFFF-FFFF00000000}"/>
  </bookViews>
  <sheets>
    <sheet name="Detailed Pro Forma" sheetId="12" r:id="rId1"/>
    <sheet name="Property 1" sheetId="13" r:id="rId2"/>
    <sheet name="Property 2" sheetId="14" r:id="rId3"/>
    <sheet name="Property 3" sheetId="15" r:id="rId4"/>
    <sheet name="Property 4" sheetId="16" r:id="rId5"/>
    <sheet name="Property 5" sheetId="17" r:id="rId6"/>
    <sheet name="Property 6" sheetId="18" r:id="rId7"/>
    <sheet name="Property 7" sheetId="19" r:id="rId8"/>
    <sheet name="Property 8" sheetId="20" r:id="rId9"/>
    <sheet name="Property 9" sheetId="21" r:id="rId10"/>
    <sheet name="Property 10" sheetId="22" r:id="rId11"/>
  </sheets>
  <externalReferences>
    <externalReference r:id="rId12"/>
  </externalReferences>
  <definedNames>
    <definedName name="MonthBegin">[1]General!$B$17</definedName>
    <definedName name="_xlnm.Print_Area" localSheetId="0">'Detailed Pro Forma'!$A$1:$L$26</definedName>
    <definedName name="_xlnm.Print_Area" localSheetId="1">'Property 1'!$A$1:$N$52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22" l="1"/>
  <c r="J6" i="22"/>
  <c r="J5" i="19"/>
  <c r="J5" i="17"/>
  <c r="J4" i="21"/>
  <c r="J4" i="20"/>
  <c r="J4" i="19"/>
  <c r="J4" i="18"/>
  <c r="J4" i="17"/>
  <c r="J4" i="16"/>
  <c r="J4" i="15"/>
  <c r="J4" i="14"/>
  <c r="B29" i="21"/>
  <c r="B29" i="20"/>
  <c r="B29" i="19"/>
  <c r="B29" i="18"/>
  <c r="B29" i="17"/>
  <c r="B29" i="16"/>
  <c r="B29" i="15"/>
  <c r="B29" i="14"/>
  <c r="J5" i="22"/>
  <c r="J6" i="21"/>
  <c r="J5" i="21"/>
  <c r="J6" i="20"/>
  <c r="J5" i="20"/>
  <c r="J6" i="19"/>
  <c r="J6" i="18"/>
  <c r="J5" i="18"/>
  <c r="J6" i="17"/>
  <c r="J6" i="16"/>
  <c r="J5" i="16"/>
  <c r="J6" i="15"/>
  <c r="J5" i="15"/>
  <c r="J6" i="14"/>
  <c r="J5" i="14"/>
  <c r="J4" i="13"/>
  <c r="B29" i="13"/>
  <c r="B28" i="13"/>
  <c r="J6" i="13"/>
  <c r="L21" i="22"/>
  <c r="B15" i="22" s="1"/>
  <c r="B21" i="22" s="1"/>
  <c r="L81" i="12" s="1"/>
  <c r="C21" i="22"/>
  <c r="L21" i="21"/>
  <c r="B15" i="21" s="1"/>
  <c r="B21" i="21" s="1"/>
  <c r="C21" i="21"/>
  <c r="L21" i="20"/>
  <c r="B15" i="20" s="1"/>
  <c r="B21" i="20" s="1"/>
  <c r="C21" i="20"/>
  <c r="L21" i="19"/>
  <c r="B15" i="19" s="1"/>
  <c r="B21" i="19" s="1"/>
  <c r="I81" i="12" s="1"/>
  <c r="C21" i="19"/>
  <c r="L21" i="17"/>
  <c r="B15" i="17" s="1"/>
  <c r="B21" i="17" s="1"/>
  <c r="G81" i="12" s="1"/>
  <c r="L21" i="16"/>
  <c r="B15" i="16" s="1"/>
  <c r="C21" i="16"/>
  <c r="L21" i="15"/>
  <c r="B15" i="15" s="1"/>
  <c r="C21" i="15"/>
  <c r="L21" i="14"/>
  <c r="B15" i="14" s="1"/>
  <c r="C21" i="14"/>
  <c r="L21" i="13"/>
  <c r="L21" i="18"/>
  <c r="B15" i="18" s="1"/>
  <c r="B21" i="18" s="1"/>
  <c r="H81" i="12" s="1"/>
  <c r="C21" i="18"/>
  <c r="AG15" i="13"/>
  <c r="AF15" i="13"/>
  <c r="AE15" i="13"/>
  <c r="AD15" i="13"/>
  <c r="AC15" i="13"/>
  <c r="AB15" i="13"/>
  <c r="AA15" i="13"/>
  <c r="AG14" i="13"/>
  <c r="AF14" i="13"/>
  <c r="AE14" i="13"/>
  <c r="AD14" i="13"/>
  <c r="AC14" i="13"/>
  <c r="AB14" i="13"/>
  <c r="AA14" i="13"/>
  <c r="AG13" i="13"/>
  <c r="AF13" i="13"/>
  <c r="AE13" i="13"/>
  <c r="AD13" i="13"/>
  <c r="AC13" i="13"/>
  <c r="AB13" i="13"/>
  <c r="AA13" i="13"/>
  <c r="AG12" i="13"/>
  <c r="AF12" i="13"/>
  <c r="AE12" i="13"/>
  <c r="AD12" i="13"/>
  <c r="AC12" i="13"/>
  <c r="AB12" i="13"/>
  <c r="AA12" i="13"/>
  <c r="AG11" i="13"/>
  <c r="AF11" i="13"/>
  <c r="AE11" i="13"/>
  <c r="AD11" i="13"/>
  <c r="AC11" i="13"/>
  <c r="AB11" i="13"/>
  <c r="AA11" i="13"/>
  <c r="AG10" i="13"/>
  <c r="AF10" i="13"/>
  <c r="AE10" i="13"/>
  <c r="AD10" i="13"/>
  <c r="AC10" i="13"/>
  <c r="AB10" i="13"/>
  <c r="AA10" i="13"/>
  <c r="AG9" i="13"/>
  <c r="AF9" i="13"/>
  <c r="AE9" i="13"/>
  <c r="AD9" i="13"/>
  <c r="AC9" i="13"/>
  <c r="AB9" i="13"/>
  <c r="AA9" i="13"/>
  <c r="AG8" i="13"/>
  <c r="AF8" i="13"/>
  <c r="AE8" i="13"/>
  <c r="AD8" i="13"/>
  <c r="AC8" i="13"/>
  <c r="AB8" i="13"/>
  <c r="AA8" i="13"/>
  <c r="AG7" i="13"/>
  <c r="AF7" i="13"/>
  <c r="AE7" i="13"/>
  <c r="AD7" i="13"/>
  <c r="AC7" i="13"/>
  <c r="AB7" i="13"/>
  <c r="AA7" i="13"/>
  <c r="AG6" i="13"/>
  <c r="AF6" i="13"/>
  <c r="AE6" i="13"/>
  <c r="AD6" i="13"/>
  <c r="AC6" i="13"/>
  <c r="AB6" i="13"/>
  <c r="AA6" i="13"/>
  <c r="Q6" i="13"/>
  <c r="Q7" i="13" s="1"/>
  <c r="AA6" i="16"/>
  <c r="AB6" i="16"/>
  <c r="AC6" i="16"/>
  <c r="AD6" i="16"/>
  <c r="AE6" i="16"/>
  <c r="AF6" i="16"/>
  <c r="AG6" i="16"/>
  <c r="AA7" i="16"/>
  <c r="AB7" i="16"/>
  <c r="AC7" i="16"/>
  <c r="AD7" i="16"/>
  <c r="AE7" i="16"/>
  <c r="AF7" i="16"/>
  <c r="AG7" i="16"/>
  <c r="AA8" i="16"/>
  <c r="AB8" i="16"/>
  <c r="AC8" i="16"/>
  <c r="AD8" i="16"/>
  <c r="AE8" i="16"/>
  <c r="AF8" i="16"/>
  <c r="AG8" i="16"/>
  <c r="AA9" i="16"/>
  <c r="AB9" i="16"/>
  <c r="AC9" i="16"/>
  <c r="AD9" i="16"/>
  <c r="AE9" i="16"/>
  <c r="AF9" i="16"/>
  <c r="AG9" i="16"/>
  <c r="AA10" i="16"/>
  <c r="AB10" i="16"/>
  <c r="AC10" i="16"/>
  <c r="AD10" i="16"/>
  <c r="AE10" i="16"/>
  <c r="AF10" i="16"/>
  <c r="AG10" i="16"/>
  <c r="AA11" i="16"/>
  <c r="AB11" i="16"/>
  <c r="AC11" i="16"/>
  <c r="AD11" i="16"/>
  <c r="AE11" i="16"/>
  <c r="AF11" i="16"/>
  <c r="AG11" i="16"/>
  <c r="AA12" i="16"/>
  <c r="AB12" i="16"/>
  <c r="AC12" i="16"/>
  <c r="AD12" i="16"/>
  <c r="AE12" i="16"/>
  <c r="AF12" i="16"/>
  <c r="AG12" i="16"/>
  <c r="AA13" i="16"/>
  <c r="AB13" i="16"/>
  <c r="AC13" i="16"/>
  <c r="AD13" i="16"/>
  <c r="AE13" i="16"/>
  <c r="AF13" i="16"/>
  <c r="AG13" i="16"/>
  <c r="AA14" i="16"/>
  <c r="AB14" i="16"/>
  <c r="AC14" i="16"/>
  <c r="AD14" i="16"/>
  <c r="AE14" i="16"/>
  <c r="AF14" i="16"/>
  <c r="AG14" i="16"/>
  <c r="AA15" i="16"/>
  <c r="AB15" i="16"/>
  <c r="AC15" i="16"/>
  <c r="AD15" i="16"/>
  <c r="AE15" i="16"/>
  <c r="AF15" i="16"/>
  <c r="AG15" i="16"/>
  <c r="Q6" i="16"/>
  <c r="Q7" i="16" s="1"/>
  <c r="L99" i="12"/>
  <c r="K99" i="12"/>
  <c r="J99" i="12"/>
  <c r="I99" i="12"/>
  <c r="H99" i="12"/>
  <c r="G99" i="12"/>
  <c r="F99" i="12"/>
  <c r="B8" i="12" s="1"/>
  <c r="A4" i="12" s="1"/>
  <c r="D99" i="12"/>
  <c r="C99" i="12"/>
  <c r="F96" i="12"/>
  <c r="G96" i="12"/>
  <c r="H96" i="12"/>
  <c r="I96" i="12"/>
  <c r="J96" i="12"/>
  <c r="K96" i="12"/>
  <c r="L96" i="12"/>
  <c r="F97" i="12"/>
  <c r="G97" i="12"/>
  <c r="H97" i="12"/>
  <c r="I97" i="12"/>
  <c r="J97" i="12"/>
  <c r="K97" i="12"/>
  <c r="L97" i="12"/>
  <c r="F98" i="12"/>
  <c r="G98" i="12"/>
  <c r="H98" i="12"/>
  <c r="I98" i="12"/>
  <c r="J98" i="12"/>
  <c r="K98" i="12"/>
  <c r="L98" i="12"/>
  <c r="D96" i="12"/>
  <c r="D97" i="12"/>
  <c r="D98" i="12"/>
  <c r="C96" i="12"/>
  <c r="C97" i="12"/>
  <c r="C98" i="12"/>
  <c r="B32" i="22"/>
  <c r="B31" i="22"/>
  <c r="B30" i="22"/>
  <c r="L89" i="12" s="1"/>
  <c r="F28" i="22"/>
  <c r="B27" i="22" s="1"/>
  <c r="C27" i="22"/>
  <c r="B26" i="22"/>
  <c r="B25" i="22"/>
  <c r="L85" i="12" s="1"/>
  <c r="L24" i="22"/>
  <c r="L25" i="22" s="1"/>
  <c r="L26" i="22" s="1"/>
  <c r="L27" i="22" s="1"/>
  <c r="L28" i="22" s="1"/>
  <c r="L29" i="22" s="1"/>
  <c r="L30" i="22" s="1"/>
  <c r="L31" i="22" s="1"/>
  <c r="L32" i="22" s="1"/>
  <c r="L33" i="22" s="1"/>
  <c r="L34" i="22" s="1"/>
  <c r="L35" i="22" s="1"/>
  <c r="L36" i="22" s="1"/>
  <c r="L37" i="22" s="1"/>
  <c r="L38" i="22" s="1"/>
  <c r="L39" i="22" s="1"/>
  <c r="L40" i="22" s="1"/>
  <c r="L41" i="22" s="1"/>
  <c r="L42" i="22" s="1"/>
  <c r="L43" i="22" s="1"/>
  <c r="L44" i="22" s="1"/>
  <c r="L45" i="22" s="1"/>
  <c r="L46" i="22" s="1"/>
  <c r="L47" i="22" s="1"/>
  <c r="L48" i="22" s="1"/>
  <c r="L49" i="22" s="1"/>
  <c r="L50" i="22" s="1"/>
  <c r="L51" i="22" s="1"/>
  <c r="L52" i="22" s="1"/>
  <c r="L53" i="22" s="1"/>
  <c r="L54" i="22" s="1"/>
  <c r="L55" i="22" s="1"/>
  <c r="L56" i="22" s="1"/>
  <c r="L57" i="22" s="1"/>
  <c r="L58" i="22" s="1"/>
  <c r="L59" i="22" s="1"/>
  <c r="L60" i="22" s="1"/>
  <c r="L61" i="22" s="1"/>
  <c r="L62" i="22" s="1"/>
  <c r="L63" i="22" s="1"/>
  <c r="L64" i="22" s="1"/>
  <c r="L65" i="22" s="1"/>
  <c r="L66" i="22" s="1"/>
  <c r="L67" i="22" s="1"/>
  <c r="L68" i="22" s="1"/>
  <c r="L69" i="22" s="1"/>
  <c r="L70" i="22" s="1"/>
  <c r="L71" i="22" s="1"/>
  <c r="L72" i="22" s="1"/>
  <c r="L73" i="22" s="1"/>
  <c r="L74" i="22" s="1"/>
  <c r="L75" i="22" s="1"/>
  <c r="L76" i="22" s="1"/>
  <c r="L77" i="22" s="1"/>
  <c r="L78" i="22" s="1"/>
  <c r="L79" i="22" s="1"/>
  <c r="L80" i="22" s="1"/>
  <c r="L81" i="22" s="1"/>
  <c r="L82" i="22" s="1"/>
  <c r="L83" i="22" s="1"/>
  <c r="L84" i="22" s="1"/>
  <c r="L85" i="22" s="1"/>
  <c r="L86" i="22" s="1"/>
  <c r="L87" i="22" s="1"/>
  <c r="L88" i="22" s="1"/>
  <c r="L89" i="22" s="1"/>
  <c r="L90" i="22" s="1"/>
  <c r="L91" i="22" s="1"/>
  <c r="L92" i="22" s="1"/>
  <c r="L93" i="22" s="1"/>
  <c r="L94" i="22" s="1"/>
  <c r="L95" i="22" s="1"/>
  <c r="L96" i="22" s="1"/>
  <c r="L97" i="22" s="1"/>
  <c r="L98" i="22" s="1"/>
  <c r="L99" i="22" s="1"/>
  <c r="L100" i="22" s="1"/>
  <c r="L101" i="22" s="1"/>
  <c r="L102" i="22" s="1"/>
  <c r="L103" i="22" s="1"/>
  <c r="L104" i="22" s="1"/>
  <c r="L105" i="22" s="1"/>
  <c r="L106" i="22" s="1"/>
  <c r="L107" i="22" s="1"/>
  <c r="L108" i="22" s="1"/>
  <c r="L109" i="22" s="1"/>
  <c r="L110" i="22" s="1"/>
  <c r="L111" i="22" s="1"/>
  <c r="L112" i="22" s="1"/>
  <c r="L113" i="22" s="1"/>
  <c r="L114" i="22" s="1"/>
  <c r="L115" i="22" s="1"/>
  <c r="L116" i="22" s="1"/>
  <c r="L117" i="22" s="1"/>
  <c r="L118" i="22" s="1"/>
  <c r="L119" i="22" s="1"/>
  <c r="L120" i="22" s="1"/>
  <c r="L121" i="22" s="1"/>
  <c r="L122" i="22" s="1"/>
  <c r="B24" i="22"/>
  <c r="J23" i="22"/>
  <c r="F6" i="22" s="1"/>
  <c r="B23" i="22"/>
  <c r="L83" i="12" s="1"/>
  <c r="B22" i="22"/>
  <c r="A17" i="22"/>
  <c r="P5" i="22"/>
  <c r="L5" i="22"/>
  <c r="F2" i="22"/>
  <c r="B32" i="21"/>
  <c r="B31" i="21"/>
  <c r="K90" i="12" s="1"/>
  <c r="B30" i="21"/>
  <c r="K89" i="12" s="1"/>
  <c r="F28" i="21"/>
  <c r="B27" i="21" s="1"/>
  <c r="C27" i="21"/>
  <c r="B26" i="21"/>
  <c r="B25" i="21"/>
  <c r="K85" i="12" s="1"/>
  <c r="L24" i="21"/>
  <c r="L25" i="21" s="1"/>
  <c r="L26" i="21" s="1"/>
  <c r="L27" i="21" s="1"/>
  <c r="L28" i="21" s="1"/>
  <c r="L29" i="21" s="1"/>
  <c r="L30" i="21" s="1"/>
  <c r="L31" i="21" s="1"/>
  <c r="L32" i="21" s="1"/>
  <c r="L33" i="21" s="1"/>
  <c r="L34" i="21" s="1"/>
  <c r="L35" i="21" s="1"/>
  <c r="L36" i="21" s="1"/>
  <c r="L37" i="21" s="1"/>
  <c r="L38" i="21" s="1"/>
  <c r="L39" i="21" s="1"/>
  <c r="L40" i="21" s="1"/>
  <c r="L41" i="21" s="1"/>
  <c r="L42" i="21" s="1"/>
  <c r="L43" i="21" s="1"/>
  <c r="L44" i="21" s="1"/>
  <c r="L45" i="21" s="1"/>
  <c r="L46" i="21" s="1"/>
  <c r="L47" i="21" s="1"/>
  <c r="L48" i="21" s="1"/>
  <c r="L49" i="21" s="1"/>
  <c r="L50" i="21" s="1"/>
  <c r="L51" i="21" s="1"/>
  <c r="L52" i="21" s="1"/>
  <c r="L53" i="21" s="1"/>
  <c r="L54" i="21" s="1"/>
  <c r="L55" i="21" s="1"/>
  <c r="L56" i="21" s="1"/>
  <c r="L57" i="21" s="1"/>
  <c r="L58" i="21" s="1"/>
  <c r="L59" i="21" s="1"/>
  <c r="L60" i="21" s="1"/>
  <c r="L61" i="21" s="1"/>
  <c r="L62" i="21" s="1"/>
  <c r="L63" i="21" s="1"/>
  <c r="L64" i="21" s="1"/>
  <c r="L65" i="21" s="1"/>
  <c r="L66" i="21" s="1"/>
  <c r="L67" i="21" s="1"/>
  <c r="L68" i="21" s="1"/>
  <c r="L69" i="21" s="1"/>
  <c r="L70" i="21" s="1"/>
  <c r="L71" i="21" s="1"/>
  <c r="L72" i="21" s="1"/>
  <c r="L73" i="21" s="1"/>
  <c r="L74" i="21" s="1"/>
  <c r="L75" i="21" s="1"/>
  <c r="L76" i="21" s="1"/>
  <c r="L77" i="21" s="1"/>
  <c r="L78" i="21" s="1"/>
  <c r="L79" i="21" s="1"/>
  <c r="L80" i="21" s="1"/>
  <c r="L81" i="21" s="1"/>
  <c r="L82" i="21" s="1"/>
  <c r="L83" i="21" s="1"/>
  <c r="L84" i="21" s="1"/>
  <c r="L85" i="21" s="1"/>
  <c r="L86" i="21" s="1"/>
  <c r="L87" i="21" s="1"/>
  <c r="L88" i="21" s="1"/>
  <c r="L89" i="21" s="1"/>
  <c r="L90" i="21" s="1"/>
  <c r="L91" i="21" s="1"/>
  <c r="L92" i="21" s="1"/>
  <c r="L93" i="21" s="1"/>
  <c r="L94" i="21" s="1"/>
  <c r="L95" i="21" s="1"/>
  <c r="L96" i="21" s="1"/>
  <c r="L97" i="21" s="1"/>
  <c r="L98" i="21" s="1"/>
  <c r="L99" i="21" s="1"/>
  <c r="L100" i="21" s="1"/>
  <c r="L101" i="21" s="1"/>
  <c r="L102" i="21" s="1"/>
  <c r="L103" i="21" s="1"/>
  <c r="L104" i="21" s="1"/>
  <c r="L105" i="21" s="1"/>
  <c r="L106" i="21" s="1"/>
  <c r="L107" i="21" s="1"/>
  <c r="L108" i="21" s="1"/>
  <c r="L109" i="21" s="1"/>
  <c r="L110" i="21" s="1"/>
  <c r="L111" i="21" s="1"/>
  <c r="L112" i="21" s="1"/>
  <c r="L113" i="21" s="1"/>
  <c r="L114" i="21" s="1"/>
  <c r="L115" i="21" s="1"/>
  <c r="L116" i="21" s="1"/>
  <c r="L117" i="21" s="1"/>
  <c r="L118" i="21" s="1"/>
  <c r="L119" i="21" s="1"/>
  <c r="L120" i="21" s="1"/>
  <c r="L121" i="21" s="1"/>
  <c r="L122" i="21" s="1"/>
  <c r="B24" i="21"/>
  <c r="J23" i="21"/>
  <c r="F6" i="21" s="1"/>
  <c r="B23" i="21"/>
  <c r="K83" i="12" s="1"/>
  <c r="B22" i="21"/>
  <c r="A17" i="21"/>
  <c r="P5" i="21"/>
  <c r="L5" i="21"/>
  <c r="F2" i="21"/>
  <c r="B32" i="20"/>
  <c r="B31" i="20"/>
  <c r="B30" i="20"/>
  <c r="J89" i="12" s="1"/>
  <c r="F28" i="20"/>
  <c r="B27" i="20" s="1"/>
  <c r="C27" i="20"/>
  <c r="B26" i="20"/>
  <c r="B25" i="20"/>
  <c r="J85" i="12" s="1"/>
  <c r="L24" i="20"/>
  <c r="L25" i="20" s="1"/>
  <c r="L26" i="20" s="1"/>
  <c r="L27" i="20" s="1"/>
  <c r="L28" i="20" s="1"/>
  <c r="L29" i="20" s="1"/>
  <c r="L30" i="20" s="1"/>
  <c r="L31" i="20" s="1"/>
  <c r="L32" i="20" s="1"/>
  <c r="L33" i="20" s="1"/>
  <c r="L34" i="20" s="1"/>
  <c r="L35" i="20" s="1"/>
  <c r="L36" i="20" s="1"/>
  <c r="L37" i="20" s="1"/>
  <c r="L38" i="20" s="1"/>
  <c r="L39" i="20" s="1"/>
  <c r="L40" i="20" s="1"/>
  <c r="L41" i="20" s="1"/>
  <c r="L42" i="20" s="1"/>
  <c r="L43" i="20" s="1"/>
  <c r="L44" i="20" s="1"/>
  <c r="L45" i="20" s="1"/>
  <c r="L46" i="20" s="1"/>
  <c r="L47" i="20" s="1"/>
  <c r="L48" i="20" s="1"/>
  <c r="L49" i="20" s="1"/>
  <c r="L50" i="20" s="1"/>
  <c r="L51" i="20" s="1"/>
  <c r="L52" i="20" s="1"/>
  <c r="L53" i="20" s="1"/>
  <c r="L54" i="20" s="1"/>
  <c r="L55" i="20" s="1"/>
  <c r="L56" i="20" s="1"/>
  <c r="L57" i="20" s="1"/>
  <c r="L58" i="20" s="1"/>
  <c r="L59" i="20" s="1"/>
  <c r="L60" i="20" s="1"/>
  <c r="L61" i="20" s="1"/>
  <c r="L62" i="20" s="1"/>
  <c r="L63" i="20" s="1"/>
  <c r="L64" i="20" s="1"/>
  <c r="L65" i="20" s="1"/>
  <c r="L66" i="20" s="1"/>
  <c r="L67" i="20" s="1"/>
  <c r="L68" i="20" s="1"/>
  <c r="L69" i="20" s="1"/>
  <c r="L70" i="20" s="1"/>
  <c r="L71" i="20" s="1"/>
  <c r="L72" i="20" s="1"/>
  <c r="L73" i="20" s="1"/>
  <c r="L74" i="20" s="1"/>
  <c r="L75" i="20" s="1"/>
  <c r="L76" i="20" s="1"/>
  <c r="L77" i="20" s="1"/>
  <c r="L78" i="20" s="1"/>
  <c r="L79" i="20" s="1"/>
  <c r="L80" i="20" s="1"/>
  <c r="L81" i="20" s="1"/>
  <c r="L82" i="20" s="1"/>
  <c r="L83" i="20" s="1"/>
  <c r="L84" i="20" s="1"/>
  <c r="L85" i="20" s="1"/>
  <c r="L86" i="20" s="1"/>
  <c r="L87" i="20" s="1"/>
  <c r="L88" i="20" s="1"/>
  <c r="L89" i="20" s="1"/>
  <c r="L90" i="20" s="1"/>
  <c r="L91" i="20" s="1"/>
  <c r="L92" i="20" s="1"/>
  <c r="L93" i="20" s="1"/>
  <c r="L94" i="20" s="1"/>
  <c r="L95" i="20" s="1"/>
  <c r="L96" i="20" s="1"/>
  <c r="L97" i="20" s="1"/>
  <c r="L98" i="20" s="1"/>
  <c r="L99" i="20" s="1"/>
  <c r="L100" i="20" s="1"/>
  <c r="L101" i="20" s="1"/>
  <c r="L102" i="20" s="1"/>
  <c r="L103" i="20" s="1"/>
  <c r="L104" i="20" s="1"/>
  <c r="L105" i="20" s="1"/>
  <c r="L106" i="20" s="1"/>
  <c r="L107" i="20" s="1"/>
  <c r="L108" i="20" s="1"/>
  <c r="L109" i="20" s="1"/>
  <c r="L110" i="20" s="1"/>
  <c r="L111" i="20" s="1"/>
  <c r="L112" i="20" s="1"/>
  <c r="L113" i="20" s="1"/>
  <c r="L114" i="20" s="1"/>
  <c r="L115" i="20" s="1"/>
  <c r="L116" i="20" s="1"/>
  <c r="L117" i="20" s="1"/>
  <c r="L118" i="20" s="1"/>
  <c r="L119" i="20" s="1"/>
  <c r="L120" i="20" s="1"/>
  <c r="L121" i="20" s="1"/>
  <c r="L122" i="20" s="1"/>
  <c r="B24" i="20"/>
  <c r="J23" i="20"/>
  <c r="F6" i="20" s="1"/>
  <c r="B23" i="20"/>
  <c r="J83" i="12" s="1"/>
  <c r="B22" i="20"/>
  <c r="A17" i="20"/>
  <c r="P5" i="20"/>
  <c r="L5" i="20"/>
  <c r="F2" i="20"/>
  <c r="B28" i="20" s="1"/>
  <c r="B32" i="19"/>
  <c r="B31" i="19"/>
  <c r="B30" i="19"/>
  <c r="I89" i="12" s="1"/>
  <c r="F28" i="19"/>
  <c r="B27" i="19" s="1"/>
  <c r="I87" i="12" s="1"/>
  <c r="C27" i="19"/>
  <c r="B26" i="19"/>
  <c r="B25" i="19"/>
  <c r="I85" i="12" s="1"/>
  <c r="L24" i="19"/>
  <c r="L25" i="19" s="1"/>
  <c r="L26" i="19"/>
  <c r="L27" i="19" s="1"/>
  <c r="L28" i="19" s="1"/>
  <c r="L29" i="19" s="1"/>
  <c r="L30" i="19" s="1"/>
  <c r="L31" i="19" s="1"/>
  <c r="L32" i="19" s="1"/>
  <c r="L33" i="19" s="1"/>
  <c r="L34" i="19" s="1"/>
  <c r="L35" i="19" s="1"/>
  <c r="L36" i="19" s="1"/>
  <c r="L37" i="19" s="1"/>
  <c r="L38" i="19" s="1"/>
  <c r="L39" i="19" s="1"/>
  <c r="L40" i="19" s="1"/>
  <c r="L41" i="19" s="1"/>
  <c r="L42" i="19" s="1"/>
  <c r="L43" i="19" s="1"/>
  <c r="L44" i="19" s="1"/>
  <c r="L45" i="19" s="1"/>
  <c r="L46" i="19" s="1"/>
  <c r="L47" i="19" s="1"/>
  <c r="L48" i="19" s="1"/>
  <c r="L49" i="19" s="1"/>
  <c r="L50" i="19" s="1"/>
  <c r="L51" i="19" s="1"/>
  <c r="L52" i="19" s="1"/>
  <c r="L53" i="19" s="1"/>
  <c r="L54" i="19" s="1"/>
  <c r="L55" i="19" s="1"/>
  <c r="L56" i="19" s="1"/>
  <c r="L57" i="19" s="1"/>
  <c r="L58" i="19" s="1"/>
  <c r="L59" i="19" s="1"/>
  <c r="L60" i="19" s="1"/>
  <c r="L61" i="19" s="1"/>
  <c r="L62" i="19" s="1"/>
  <c r="L63" i="19" s="1"/>
  <c r="L64" i="19" s="1"/>
  <c r="L65" i="19" s="1"/>
  <c r="L66" i="19" s="1"/>
  <c r="L67" i="19" s="1"/>
  <c r="L68" i="19" s="1"/>
  <c r="L69" i="19" s="1"/>
  <c r="L70" i="19" s="1"/>
  <c r="L71" i="19" s="1"/>
  <c r="L72" i="19" s="1"/>
  <c r="L73" i="19" s="1"/>
  <c r="L74" i="19" s="1"/>
  <c r="L75" i="19" s="1"/>
  <c r="L76" i="19" s="1"/>
  <c r="L77" i="19" s="1"/>
  <c r="L78" i="19" s="1"/>
  <c r="L79" i="19" s="1"/>
  <c r="L80" i="19" s="1"/>
  <c r="L81" i="19" s="1"/>
  <c r="L82" i="19" s="1"/>
  <c r="L83" i="19" s="1"/>
  <c r="L84" i="19" s="1"/>
  <c r="L85" i="19" s="1"/>
  <c r="L86" i="19" s="1"/>
  <c r="L87" i="19" s="1"/>
  <c r="L88" i="19" s="1"/>
  <c r="L89" i="19" s="1"/>
  <c r="L90" i="19" s="1"/>
  <c r="L91" i="19" s="1"/>
  <c r="L92" i="19" s="1"/>
  <c r="L93" i="19" s="1"/>
  <c r="L94" i="19" s="1"/>
  <c r="L95" i="19" s="1"/>
  <c r="L96" i="19" s="1"/>
  <c r="L97" i="19" s="1"/>
  <c r="L98" i="19" s="1"/>
  <c r="L99" i="19" s="1"/>
  <c r="L100" i="19" s="1"/>
  <c r="L101" i="19" s="1"/>
  <c r="L102" i="19" s="1"/>
  <c r="L103" i="19" s="1"/>
  <c r="L104" i="19" s="1"/>
  <c r="L105" i="19" s="1"/>
  <c r="L106" i="19" s="1"/>
  <c r="L107" i="19" s="1"/>
  <c r="L108" i="19" s="1"/>
  <c r="L109" i="19" s="1"/>
  <c r="L110" i="19" s="1"/>
  <c r="L111" i="19" s="1"/>
  <c r="L112" i="19" s="1"/>
  <c r="L113" i="19" s="1"/>
  <c r="L114" i="19" s="1"/>
  <c r="L115" i="19" s="1"/>
  <c r="L116" i="19" s="1"/>
  <c r="L117" i="19" s="1"/>
  <c r="L118" i="19" s="1"/>
  <c r="L119" i="19" s="1"/>
  <c r="L120" i="19" s="1"/>
  <c r="L121" i="19" s="1"/>
  <c r="L122" i="19" s="1"/>
  <c r="B24" i="19"/>
  <c r="J23" i="19"/>
  <c r="B23" i="19"/>
  <c r="B22" i="19"/>
  <c r="A17" i="19"/>
  <c r="F6" i="19"/>
  <c r="P5" i="19"/>
  <c r="F2" i="19"/>
  <c r="I72" i="12" s="1"/>
  <c r="B32" i="18"/>
  <c r="B31" i="18"/>
  <c r="H90" i="12" s="1"/>
  <c r="B30" i="18"/>
  <c r="H89" i="12" s="1"/>
  <c r="F28" i="18"/>
  <c r="B27" i="18" s="1"/>
  <c r="C27" i="18"/>
  <c r="B26" i="18"/>
  <c r="B25" i="18"/>
  <c r="L24" i="18"/>
  <c r="L25" i="18" s="1"/>
  <c r="L26" i="18" s="1"/>
  <c r="L27" i="18" s="1"/>
  <c r="L28" i="18" s="1"/>
  <c r="L29" i="18" s="1"/>
  <c r="L30" i="18" s="1"/>
  <c r="L31" i="18" s="1"/>
  <c r="L32" i="18" s="1"/>
  <c r="L33" i="18" s="1"/>
  <c r="L34" i="18" s="1"/>
  <c r="L35" i="18" s="1"/>
  <c r="L36" i="18" s="1"/>
  <c r="L37" i="18" s="1"/>
  <c r="L38" i="18" s="1"/>
  <c r="L39" i="18" s="1"/>
  <c r="L40" i="18" s="1"/>
  <c r="L41" i="18" s="1"/>
  <c r="L42" i="18" s="1"/>
  <c r="L43" i="18" s="1"/>
  <c r="L44" i="18" s="1"/>
  <c r="L45" i="18" s="1"/>
  <c r="L46" i="18" s="1"/>
  <c r="L47" i="18" s="1"/>
  <c r="L48" i="18" s="1"/>
  <c r="L49" i="18" s="1"/>
  <c r="L50" i="18" s="1"/>
  <c r="L51" i="18" s="1"/>
  <c r="L52" i="18" s="1"/>
  <c r="L53" i="18" s="1"/>
  <c r="L54" i="18" s="1"/>
  <c r="L55" i="18" s="1"/>
  <c r="L56" i="18" s="1"/>
  <c r="L57" i="18" s="1"/>
  <c r="L58" i="18" s="1"/>
  <c r="L59" i="18" s="1"/>
  <c r="L60" i="18" s="1"/>
  <c r="L61" i="18" s="1"/>
  <c r="L62" i="18" s="1"/>
  <c r="L63" i="18" s="1"/>
  <c r="L64" i="18" s="1"/>
  <c r="L65" i="18" s="1"/>
  <c r="L66" i="18" s="1"/>
  <c r="L67" i="18" s="1"/>
  <c r="L68" i="18" s="1"/>
  <c r="L69" i="18" s="1"/>
  <c r="L70" i="18" s="1"/>
  <c r="L71" i="18" s="1"/>
  <c r="L72" i="18" s="1"/>
  <c r="L73" i="18" s="1"/>
  <c r="L74" i="18" s="1"/>
  <c r="L75" i="18" s="1"/>
  <c r="L76" i="18" s="1"/>
  <c r="L77" i="18" s="1"/>
  <c r="L78" i="18" s="1"/>
  <c r="L79" i="18" s="1"/>
  <c r="L80" i="18" s="1"/>
  <c r="L81" i="18" s="1"/>
  <c r="L82" i="18" s="1"/>
  <c r="L83" i="18" s="1"/>
  <c r="L84" i="18" s="1"/>
  <c r="L85" i="18" s="1"/>
  <c r="L86" i="18" s="1"/>
  <c r="L87" i="18" s="1"/>
  <c r="L88" i="18" s="1"/>
  <c r="L89" i="18" s="1"/>
  <c r="L90" i="18" s="1"/>
  <c r="L91" i="18" s="1"/>
  <c r="L92" i="18" s="1"/>
  <c r="L93" i="18" s="1"/>
  <c r="L94" i="18" s="1"/>
  <c r="L95" i="18" s="1"/>
  <c r="L96" i="18" s="1"/>
  <c r="L97" i="18" s="1"/>
  <c r="L98" i="18" s="1"/>
  <c r="L99" i="18" s="1"/>
  <c r="L100" i="18" s="1"/>
  <c r="L101" i="18" s="1"/>
  <c r="L102" i="18" s="1"/>
  <c r="L103" i="18" s="1"/>
  <c r="L104" i="18" s="1"/>
  <c r="L105" i="18" s="1"/>
  <c r="L106" i="18" s="1"/>
  <c r="L107" i="18" s="1"/>
  <c r="L108" i="18" s="1"/>
  <c r="L109" i="18" s="1"/>
  <c r="L110" i="18" s="1"/>
  <c r="L111" i="18" s="1"/>
  <c r="L112" i="18" s="1"/>
  <c r="L113" i="18" s="1"/>
  <c r="L114" i="18" s="1"/>
  <c r="L115" i="18" s="1"/>
  <c r="L116" i="18" s="1"/>
  <c r="L117" i="18" s="1"/>
  <c r="L118" i="18" s="1"/>
  <c r="L119" i="18" s="1"/>
  <c r="L120" i="18" s="1"/>
  <c r="L121" i="18" s="1"/>
  <c r="L122" i="18" s="1"/>
  <c r="B24" i="18"/>
  <c r="J23" i="18"/>
  <c r="F6" i="18" s="1"/>
  <c r="B23" i="18"/>
  <c r="H83" i="12" s="1"/>
  <c r="B22" i="18"/>
  <c r="A17" i="18"/>
  <c r="P5" i="18"/>
  <c r="L5" i="18"/>
  <c r="F2" i="18"/>
  <c r="B32" i="17"/>
  <c r="B31" i="17"/>
  <c r="B30" i="17"/>
  <c r="G89" i="12" s="1"/>
  <c r="F28" i="17"/>
  <c r="B27" i="17" s="1"/>
  <c r="C27" i="17"/>
  <c r="B26" i="17"/>
  <c r="G86" i="12" s="1"/>
  <c r="B25" i="17"/>
  <c r="L24" i="17"/>
  <c r="L25" i="17" s="1"/>
  <c r="L26" i="17" s="1"/>
  <c r="L27" i="17" s="1"/>
  <c r="L28" i="17" s="1"/>
  <c r="L29" i="17" s="1"/>
  <c r="L30" i="17" s="1"/>
  <c r="L31" i="17" s="1"/>
  <c r="L32" i="17" s="1"/>
  <c r="L33" i="17" s="1"/>
  <c r="L34" i="17" s="1"/>
  <c r="L35" i="17" s="1"/>
  <c r="L36" i="17" s="1"/>
  <c r="L37" i="17" s="1"/>
  <c r="L38" i="17" s="1"/>
  <c r="L39" i="17" s="1"/>
  <c r="L40" i="17" s="1"/>
  <c r="L41" i="17" s="1"/>
  <c r="L42" i="17" s="1"/>
  <c r="L43" i="17" s="1"/>
  <c r="L44" i="17" s="1"/>
  <c r="L45" i="17" s="1"/>
  <c r="L46" i="17" s="1"/>
  <c r="L47" i="17" s="1"/>
  <c r="L48" i="17" s="1"/>
  <c r="L49" i="17" s="1"/>
  <c r="L50" i="17" s="1"/>
  <c r="L51" i="17" s="1"/>
  <c r="L52" i="17" s="1"/>
  <c r="L53" i="17" s="1"/>
  <c r="L54" i="17" s="1"/>
  <c r="L55" i="17" s="1"/>
  <c r="L56" i="17" s="1"/>
  <c r="L57" i="17" s="1"/>
  <c r="L58" i="17" s="1"/>
  <c r="L59" i="17" s="1"/>
  <c r="L60" i="17" s="1"/>
  <c r="L61" i="17" s="1"/>
  <c r="L62" i="17" s="1"/>
  <c r="L63" i="17" s="1"/>
  <c r="L64" i="17" s="1"/>
  <c r="L65" i="17" s="1"/>
  <c r="L66" i="17" s="1"/>
  <c r="L67" i="17" s="1"/>
  <c r="L68" i="17" s="1"/>
  <c r="L69" i="17" s="1"/>
  <c r="L70" i="17" s="1"/>
  <c r="L71" i="17" s="1"/>
  <c r="L72" i="17" s="1"/>
  <c r="L73" i="17" s="1"/>
  <c r="L74" i="17" s="1"/>
  <c r="L75" i="17" s="1"/>
  <c r="L76" i="17" s="1"/>
  <c r="L77" i="17" s="1"/>
  <c r="L78" i="17" s="1"/>
  <c r="L79" i="17" s="1"/>
  <c r="L80" i="17" s="1"/>
  <c r="L81" i="17" s="1"/>
  <c r="L82" i="17" s="1"/>
  <c r="L83" i="17" s="1"/>
  <c r="L84" i="17" s="1"/>
  <c r="L85" i="17" s="1"/>
  <c r="L86" i="17" s="1"/>
  <c r="L87" i="17" s="1"/>
  <c r="L88" i="17" s="1"/>
  <c r="L89" i="17" s="1"/>
  <c r="L90" i="17" s="1"/>
  <c r="L91" i="17" s="1"/>
  <c r="L92" i="17" s="1"/>
  <c r="L93" i="17" s="1"/>
  <c r="L94" i="17" s="1"/>
  <c r="L95" i="17" s="1"/>
  <c r="L96" i="17" s="1"/>
  <c r="L97" i="17" s="1"/>
  <c r="L98" i="17" s="1"/>
  <c r="L99" i="17" s="1"/>
  <c r="L100" i="17" s="1"/>
  <c r="L101" i="17" s="1"/>
  <c r="L102" i="17" s="1"/>
  <c r="L103" i="17" s="1"/>
  <c r="L104" i="17" s="1"/>
  <c r="L105" i="17" s="1"/>
  <c r="L106" i="17" s="1"/>
  <c r="L107" i="17" s="1"/>
  <c r="L108" i="17" s="1"/>
  <c r="L109" i="17" s="1"/>
  <c r="L110" i="17" s="1"/>
  <c r="L111" i="17" s="1"/>
  <c r="L112" i="17" s="1"/>
  <c r="L113" i="17" s="1"/>
  <c r="L114" i="17" s="1"/>
  <c r="L115" i="17" s="1"/>
  <c r="L116" i="17" s="1"/>
  <c r="L117" i="17" s="1"/>
  <c r="L118" i="17" s="1"/>
  <c r="L119" i="17" s="1"/>
  <c r="L120" i="17" s="1"/>
  <c r="L121" i="17" s="1"/>
  <c r="L122" i="17" s="1"/>
  <c r="B24" i="17"/>
  <c r="J23" i="17"/>
  <c r="F6" i="17" s="1"/>
  <c r="B23" i="17"/>
  <c r="G83" i="12" s="1"/>
  <c r="B22" i="17"/>
  <c r="A17" i="17"/>
  <c r="P5" i="17"/>
  <c r="F2" i="17"/>
  <c r="B32" i="16"/>
  <c r="B31" i="16"/>
  <c r="B30" i="16"/>
  <c r="F89" i="12" s="1"/>
  <c r="F28" i="16"/>
  <c r="Q5" i="16"/>
  <c r="C27" i="16"/>
  <c r="B26" i="16"/>
  <c r="F86" i="12" s="1"/>
  <c r="B25" i="16"/>
  <c r="L24" i="16"/>
  <c r="L25" i="16" s="1"/>
  <c r="L26" i="16" s="1"/>
  <c r="L27" i="16" s="1"/>
  <c r="L28" i="16" s="1"/>
  <c r="L29" i="16" s="1"/>
  <c r="L30" i="16" s="1"/>
  <c r="L31" i="16" s="1"/>
  <c r="L32" i="16" s="1"/>
  <c r="L33" i="16" s="1"/>
  <c r="L34" i="16" s="1"/>
  <c r="L35" i="16" s="1"/>
  <c r="L36" i="16" s="1"/>
  <c r="L37" i="16" s="1"/>
  <c r="L38" i="16" s="1"/>
  <c r="L39" i="16" s="1"/>
  <c r="L40" i="16" s="1"/>
  <c r="L41" i="16" s="1"/>
  <c r="L42" i="16" s="1"/>
  <c r="L43" i="16" s="1"/>
  <c r="L44" i="16" s="1"/>
  <c r="L45" i="16" s="1"/>
  <c r="L46" i="16" s="1"/>
  <c r="L47" i="16" s="1"/>
  <c r="L48" i="16" s="1"/>
  <c r="L49" i="16" s="1"/>
  <c r="L50" i="16" s="1"/>
  <c r="L51" i="16" s="1"/>
  <c r="L52" i="16" s="1"/>
  <c r="L53" i="16" s="1"/>
  <c r="L54" i="16" s="1"/>
  <c r="L55" i="16" s="1"/>
  <c r="L56" i="16" s="1"/>
  <c r="L57" i="16" s="1"/>
  <c r="L58" i="16" s="1"/>
  <c r="L59" i="16" s="1"/>
  <c r="L60" i="16" s="1"/>
  <c r="L61" i="16" s="1"/>
  <c r="L62" i="16" s="1"/>
  <c r="L63" i="16" s="1"/>
  <c r="L64" i="16" s="1"/>
  <c r="L65" i="16" s="1"/>
  <c r="L66" i="16" s="1"/>
  <c r="L67" i="16" s="1"/>
  <c r="L68" i="16" s="1"/>
  <c r="L69" i="16" s="1"/>
  <c r="L70" i="16" s="1"/>
  <c r="L71" i="16" s="1"/>
  <c r="L72" i="16" s="1"/>
  <c r="L73" i="16" s="1"/>
  <c r="L74" i="16" s="1"/>
  <c r="L75" i="16" s="1"/>
  <c r="L76" i="16" s="1"/>
  <c r="L77" i="16" s="1"/>
  <c r="L78" i="16" s="1"/>
  <c r="L79" i="16" s="1"/>
  <c r="L80" i="16" s="1"/>
  <c r="L81" i="16" s="1"/>
  <c r="L82" i="16" s="1"/>
  <c r="L83" i="16" s="1"/>
  <c r="L84" i="16" s="1"/>
  <c r="L85" i="16" s="1"/>
  <c r="L86" i="16" s="1"/>
  <c r="L87" i="16" s="1"/>
  <c r="L88" i="16" s="1"/>
  <c r="L89" i="16" s="1"/>
  <c r="L90" i="16" s="1"/>
  <c r="L91" i="16" s="1"/>
  <c r="L92" i="16" s="1"/>
  <c r="L93" i="16" s="1"/>
  <c r="L94" i="16" s="1"/>
  <c r="L95" i="16" s="1"/>
  <c r="L96" i="16" s="1"/>
  <c r="L97" i="16" s="1"/>
  <c r="L98" i="16" s="1"/>
  <c r="L99" i="16" s="1"/>
  <c r="L100" i="16" s="1"/>
  <c r="L101" i="16" s="1"/>
  <c r="L102" i="16" s="1"/>
  <c r="L103" i="16" s="1"/>
  <c r="L104" i="16" s="1"/>
  <c r="L105" i="16" s="1"/>
  <c r="L106" i="16" s="1"/>
  <c r="L107" i="16" s="1"/>
  <c r="L108" i="16" s="1"/>
  <c r="L109" i="16" s="1"/>
  <c r="L110" i="16" s="1"/>
  <c r="L111" i="16" s="1"/>
  <c r="L112" i="16" s="1"/>
  <c r="L113" i="16" s="1"/>
  <c r="L114" i="16" s="1"/>
  <c r="L115" i="16" s="1"/>
  <c r="L116" i="16" s="1"/>
  <c r="L117" i="16" s="1"/>
  <c r="L118" i="16" s="1"/>
  <c r="L119" i="16" s="1"/>
  <c r="L120" i="16" s="1"/>
  <c r="L121" i="16" s="1"/>
  <c r="L122" i="16" s="1"/>
  <c r="B24" i="16"/>
  <c r="J23" i="16"/>
  <c r="F6" i="16" s="1"/>
  <c r="F76" i="12" s="1"/>
  <c r="B23" i="16"/>
  <c r="B22" i="16"/>
  <c r="R5" i="16"/>
  <c r="A17" i="16"/>
  <c r="L5" i="16"/>
  <c r="F2" i="16"/>
  <c r="B32" i="14"/>
  <c r="B31" i="14"/>
  <c r="D90" i="12" s="1"/>
  <c r="B30" i="14"/>
  <c r="D89" i="12" s="1"/>
  <c r="F28" i="14"/>
  <c r="B27" i="14" s="1"/>
  <c r="C27" i="14"/>
  <c r="B26" i="14"/>
  <c r="B25" i="14"/>
  <c r="L24" i="14"/>
  <c r="L25" i="14" s="1"/>
  <c r="L26" i="14" s="1"/>
  <c r="L27" i="14" s="1"/>
  <c r="L28" i="14" s="1"/>
  <c r="L29" i="14" s="1"/>
  <c r="L30" i="14" s="1"/>
  <c r="L31" i="14" s="1"/>
  <c r="L32" i="14" s="1"/>
  <c r="L33" i="14" s="1"/>
  <c r="L34" i="14" s="1"/>
  <c r="L35" i="14" s="1"/>
  <c r="L36" i="14" s="1"/>
  <c r="L37" i="14" s="1"/>
  <c r="L38" i="14" s="1"/>
  <c r="L39" i="14" s="1"/>
  <c r="L40" i="14" s="1"/>
  <c r="L41" i="14" s="1"/>
  <c r="L42" i="14" s="1"/>
  <c r="L43" i="14" s="1"/>
  <c r="L44" i="14" s="1"/>
  <c r="L45" i="14" s="1"/>
  <c r="L46" i="14" s="1"/>
  <c r="L47" i="14" s="1"/>
  <c r="L48" i="14" s="1"/>
  <c r="L49" i="14" s="1"/>
  <c r="L50" i="14" s="1"/>
  <c r="L51" i="14" s="1"/>
  <c r="L52" i="14" s="1"/>
  <c r="L53" i="14" s="1"/>
  <c r="L54" i="14" s="1"/>
  <c r="L55" i="14" s="1"/>
  <c r="L56" i="14" s="1"/>
  <c r="L57" i="14" s="1"/>
  <c r="L58" i="14" s="1"/>
  <c r="L59" i="14" s="1"/>
  <c r="L60" i="14" s="1"/>
  <c r="L61" i="14" s="1"/>
  <c r="L62" i="14" s="1"/>
  <c r="L63" i="14" s="1"/>
  <c r="L64" i="14" s="1"/>
  <c r="L65" i="14" s="1"/>
  <c r="L66" i="14" s="1"/>
  <c r="L67" i="14" s="1"/>
  <c r="L68" i="14" s="1"/>
  <c r="L69" i="14" s="1"/>
  <c r="L70" i="14" s="1"/>
  <c r="L71" i="14" s="1"/>
  <c r="L72" i="14" s="1"/>
  <c r="L73" i="14" s="1"/>
  <c r="L74" i="14" s="1"/>
  <c r="L75" i="14" s="1"/>
  <c r="L76" i="14" s="1"/>
  <c r="L77" i="14" s="1"/>
  <c r="L78" i="14" s="1"/>
  <c r="L79" i="14" s="1"/>
  <c r="L80" i="14" s="1"/>
  <c r="L81" i="14" s="1"/>
  <c r="L82" i="14" s="1"/>
  <c r="L83" i="14" s="1"/>
  <c r="L84" i="14" s="1"/>
  <c r="L85" i="14" s="1"/>
  <c r="L86" i="14" s="1"/>
  <c r="L87" i="14" s="1"/>
  <c r="L88" i="14" s="1"/>
  <c r="L89" i="14" s="1"/>
  <c r="L90" i="14" s="1"/>
  <c r="L91" i="14" s="1"/>
  <c r="L92" i="14" s="1"/>
  <c r="L93" i="14" s="1"/>
  <c r="L94" i="14" s="1"/>
  <c r="L95" i="14" s="1"/>
  <c r="L96" i="14" s="1"/>
  <c r="L97" i="14" s="1"/>
  <c r="L98" i="14" s="1"/>
  <c r="L99" i="14" s="1"/>
  <c r="L100" i="14" s="1"/>
  <c r="L101" i="14" s="1"/>
  <c r="L102" i="14" s="1"/>
  <c r="L103" i="14" s="1"/>
  <c r="L104" i="14" s="1"/>
  <c r="L105" i="14" s="1"/>
  <c r="L106" i="14" s="1"/>
  <c r="L107" i="14" s="1"/>
  <c r="L108" i="14" s="1"/>
  <c r="L109" i="14" s="1"/>
  <c r="L110" i="14" s="1"/>
  <c r="L111" i="14" s="1"/>
  <c r="L112" i="14" s="1"/>
  <c r="L113" i="14" s="1"/>
  <c r="L114" i="14" s="1"/>
  <c r="L115" i="14" s="1"/>
  <c r="L116" i="14" s="1"/>
  <c r="L117" i="14" s="1"/>
  <c r="L118" i="14" s="1"/>
  <c r="L119" i="14" s="1"/>
  <c r="L120" i="14" s="1"/>
  <c r="L121" i="14" s="1"/>
  <c r="L122" i="14" s="1"/>
  <c r="B24" i="14"/>
  <c r="D84" i="12" s="1"/>
  <c r="J23" i="14"/>
  <c r="F6" i="14" s="1"/>
  <c r="B23" i="14"/>
  <c r="B22" i="14"/>
  <c r="D82" i="12" s="1"/>
  <c r="A17" i="14"/>
  <c r="P5" i="14"/>
  <c r="L5" i="14"/>
  <c r="F2" i="14"/>
  <c r="B28" i="14" s="1"/>
  <c r="D88" i="12" s="1"/>
  <c r="B32" i="13"/>
  <c r="B31" i="13"/>
  <c r="C90" i="12" s="1"/>
  <c r="B30" i="13"/>
  <c r="C89" i="12" s="1"/>
  <c r="F28" i="13"/>
  <c r="B27" i="13" s="1"/>
  <c r="C87" i="12" s="1"/>
  <c r="C27" i="13"/>
  <c r="B26" i="13"/>
  <c r="C86" i="12" s="1"/>
  <c r="B25" i="13"/>
  <c r="L24" i="13"/>
  <c r="L25" i="13" s="1"/>
  <c r="L26" i="13" s="1"/>
  <c r="L27" i="13" s="1"/>
  <c r="L28" i="13" s="1"/>
  <c r="L29" i="13" s="1"/>
  <c r="L30" i="13" s="1"/>
  <c r="L31" i="13" s="1"/>
  <c r="L32" i="13" s="1"/>
  <c r="L33" i="13" s="1"/>
  <c r="L34" i="13" s="1"/>
  <c r="L35" i="13" s="1"/>
  <c r="L36" i="13" s="1"/>
  <c r="L37" i="13" s="1"/>
  <c r="L38" i="13" s="1"/>
  <c r="L39" i="13" s="1"/>
  <c r="L40" i="13" s="1"/>
  <c r="L41" i="13" s="1"/>
  <c r="L42" i="13" s="1"/>
  <c r="L43" i="13" s="1"/>
  <c r="L44" i="13" s="1"/>
  <c r="L45" i="13" s="1"/>
  <c r="L46" i="13" s="1"/>
  <c r="L47" i="13" s="1"/>
  <c r="L48" i="13" s="1"/>
  <c r="L49" i="13" s="1"/>
  <c r="L50" i="13" s="1"/>
  <c r="L51" i="13" s="1"/>
  <c r="L52" i="13" s="1"/>
  <c r="L53" i="13" s="1"/>
  <c r="L54" i="13" s="1"/>
  <c r="L55" i="13" s="1"/>
  <c r="L56" i="13" s="1"/>
  <c r="L57" i="13" s="1"/>
  <c r="L58" i="13" s="1"/>
  <c r="L59" i="13" s="1"/>
  <c r="L60" i="13" s="1"/>
  <c r="L61" i="13" s="1"/>
  <c r="L62" i="13" s="1"/>
  <c r="L63" i="13" s="1"/>
  <c r="L64" i="13" s="1"/>
  <c r="L65" i="13" s="1"/>
  <c r="L66" i="13" s="1"/>
  <c r="L67" i="13" s="1"/>
  <c r="L68" i="13" s="1"/>
  <c r="L69" i="13" s="1"/>
  <c r="L70" i="13" s="1"/>
  <c r="L71" i="13" s="1"/>
  <c r="L72" i="13" s="1"/>
  <c r="L73" i="13" s="1"/>
  <c r="L74" i="13" s="1"/>
  <c r="L75" i="13" s="1"/>
  <c r="L76" i="13" s="1"/>
  <c r="L77" i="13" s="1"/>
  <c r="L78" i="13" s="1"/>
  <c r="L79" i="13" s="1"/>
  <c r="L80" i="13" s="1"/>
  <c r="L81" i="13" s="1"/>
  <c r="L82" i="13" s="1"/>
  <c r="L83" i="13" s="1"/>
  <c r="L84" i="13" s="1"/>
  <c r="L85" i="13" s="1"/>
  <c r="L86" i="13" s="1"/>
  <c r="L87" i="13" s="1"/>
  <c r="L88" i="13" s="1"/>
  <c r="L89" i="13" s="1"/>
  <c r="L90" i="13" s="1"/>
  <c r="L91" i="13" s="1"/>
  <c r="L92" i="13" s="1"/>
  <c r="L93" i="13" s="1"/>
  <c r="L94" i="13" s="1"/>
  <c r="L95" i="13" s="1"/>
  <c r="L96" i="13" s="1"/>
  <c r="L97" i="13" s="1"/>
  <c r="L98" i="13" s="1"/>
  <c r="L99" i="13" s="1"/>
  <c r="L100" i="13" s="1"/>
  <c r="L101" i="13" s="1"/>
  <c r="L102" i="13" s="1"/>
  <c r="L103" i="13" s="1"/>
  <c r="L104" i="13" s="1"/>
  <c r="L105" i="13" s="1"/>
  <c r="L106" i="13" s="1"/>
  <c r="L107" i="13" s="1"/>
  <c r="L108" i="13" s="1"/>
  <c r="L109" i="13" s="1"/>
  <c r="L110" i="13" s="1"/>
  <c r="L111" i="13" s="1"/>
  <c r="L112" i="13" s="1"/>
  <c r="L113" i="13" s="1"/>
  <c r="L114" i="13" s="1"/>
  <c r="L115" i="13" s="1"/>
  <c r="L116" i="13" s="1"/>
  <c r="L117" i="13" s="1"/>
  <c r="L118" i="13" s="1"/>
  <c r="L119" i="13" s="1"/>
  <c r="L120" i="13" s="1"/>
  <c r="L121" i="13" s="1"/>
  <c r="L122" i="13" s="1"/>
  <c r="B24" i="13"/>
  <c r="C84" i="12" s="1"/>
  <c r="J23" i="13"/>
  <c r="F6" i="13" s="1"/>
  <c r="C76" i="12" s="1"/>
  <c r="B23" i="13"/>
  <c r="B22" i="13"/>
  <c r="C82" i="12" s="1"/>
  <c r="C16" i="12" s="1"/>
  <c r="A17" i="13"/>
  <c r="L5" i="13"/>
  <c r="F2" i="13"/>
  <c r="C88" i="12" s="1"/>
  <c r="C95" i="12"/>
  <c r="D95" i="12"/>
  <c r="E99" i="12"/>
  <c r="E98" i="12"/>
  <c r="B7" i="12"/>
  <c r="E97" i="12"/>
  <c r="B6" i="12"/>
  <c r="E96" i="12"/>
  <c r="B5" i="12"/>
  <c r="B25" i="15"/>
  <c r="E84" i="12" s="1"/>
  <c r="B24" i="15"/>
  <c r="B23" i="15"/>
  <c r="E82" i="12" s="1"/>
  <c r="B22" i="15"/>
  <c r="E81" i="12" s="1"/>
  <c r="F2" i="15"/>
  <c r="L5" i="15"/>
  <c r="A17" i="15"/>
  <c r="I86" i="12"/>
  <c r="L95" i="12"/>
  <c r="L90" i="12"/>
  <c r="L86" i="12"/>
  <c r="L84" i="12"/>
  <c r="L82" i="12"/>
  <c r="L75" i="12"/>
  <c r="L74" i="12"/>
  <c r="L73" i="12"/>
  <c r="L72" i="12"/>
  <c r="L68" i="12"/>
  <c r="L67" i="12"/>
  <c r="L66" i="12"/>
  <c r="L65" i="12"/>
  <c r="K95" i="12"/>
  <c r="K86" i="12"/>
  <c r="K84" i="12"/>
  <c r="K82" i="12"/>
  <c r="K75" i="12"/>
  <c r="K74" i="12"/>
  <c r="K73" i="12"/>
  <c r="K72" i="12"/>
  <c r="K68" i="12"/>
  <c r="K67" i="12"/>
  <c r="K66" i="12"/>
  <c r="K65" i="12"/>
  <c r="J95" i="12"/>
  <c r="J90" i="12"/>
  <c r="J86" i="12"/>
  <c r="J84" i="12"/>
  <c r="J82" i="12"/>
  <c r="J75" i="12"/>
  <c r="J74" i="12"/>
  <c r="J73" i="12"/>
  <c r="J72" i="12"/>
  <c r="J68" i="12"/>
  <c r="J67" i="12"/>
  <c r="J66" i="12"/>
  <c r="J65" i="12"/>
  <c r="I95" i="12"/>
  <c r="I90" i="12"/>
  <c r="I84" i="12"/>
  <c r="I83" i="12"/>
  <c r="I82" i="12"/>
  <c r="I75" i="12"/>
  <c r="I74" i="12"/>
  <c r="I73" i="12"/>
  <c r="I68" i="12"/>
  <c r="I67" i="12"/>
  <c r="I66" i="12"/>
  <c r="I65" i="12"/>
  <c r="H95" i="12"/>
  <c r="H75" i="12"/>
  <c r="H74" i="12"/>
  <c r="H73" i="12"/>
  <c r="H68" i="12"/>
  <c r="H67" i="12"/>
  <c r="H66" i="12"/>
  <c r="H65" i="12"/>
  <c r="G95" i="12"/>
  <c r="G75" i="12"/>
  <c r="G74" i="12"/>
  <c r="G73" i="12"/>
  <c r="G68" i="12"/>
  <c r="G67" i="12"/>
  <c r="G66" i="12"/>
  <c r="G65" i="12"/>
  <c r="F95" i="12"/>
  <c r="F75" i="12"/>
  <c r="F74" i="12"/>
  <c r="B100" i="12" s="1"/>
  <c r="F73" i="12"/>
  <c r="F68" i="12"/>
  <c r="F67" i="12"/>
  <c r="F66" i="12"/>
  <c r="F65" i="12"/>
  <c r="E95" i="12"/>
  <c r="E83" i="12"/>
  <c r="E75" i="12"/>
  <c r="E74" i="12"/>
  <c r="E73" i="12"/>
  <c r="E68" i="12"/>
  <c r="E67" i="12"/>
  <c r="E66" i="12"/>
  <c r="E65" i="12"/>
  <c r="D86" i="12"/>
  <c r="D83" i="12"/>
  <c r="D79" i="12"/>
  <c r="D75" i="12"/>
  <c r="D74" i="12"/>
  <c r="D73" i="12"/>
  <c r="D68" i="12"/>
  <c r="D67" i="12"/>
  <c r="D66" i="12"/>
  <c r="D65" i="12"/>
  <c r="C83" i="12"/>
  <c r="C17" i="12" s="1"/>
  <c r="C75" i="12"/>
  <c r="C74" i="12"/>
  <c r="C73" i="12"/>
  <c r="C65" i="12"/>
  <c r="S5" i="16"/>
  <c r="AB5" i="16" s="1"/>
  <c r="AA5" i="16"/>
  <c r="B27" i="16"/>
  <c r="F87" i="12" s="1"/>
  <c r="L76" i="12"/>
  <c r="L94" i="12"/>
  <c r="B28" i="22"/>
  <c r="L88" i="12" s="1"/>
  <c r="B16" i="21"/>
  <c r="K70" i="12" s="1"/>
  <c r="K71" i="12" s="1"/>
  <c r="B17" i="21"/>
  <c r="B20" i="21" s="1"/>
  <c r="C14" i="21"/>
  <c r="K76" i="12"/>
  <c r="K94" i="12"/>
  <c r="B28" i="21"/>
  <c r="K88" i="12" s="1"/>
  <c r="C14" i="20"/>
  <c r="B16" i="19"/>
  <c r="B17" i="19" s="1"/>
  <c r="B20" i="19" s="1"/>
  <c r="C14" i="19"/>
  <c r="C14" i="18"/>
  <c r="B28" i="18"/>
  <c r="H88" i="12" s="1"/>
  <c r="B16" i="17"/>
  <c r="B17" i="17" s="1"/>
  <c r="B20" i="17" s="1"/>
  <c r="B28" i="17"/>
  <c r="G88" i="12"/>
  <c r="B16" i="16"/>
  <c r="B17" i="16"/>
  <c r="B20" i="16" s="1"/>
  <c r="C14" i="16"/>
  <c r="B28" i="16"/>
  <c r="F88" i="12" s="1"/>
  <c r="K81" i="12"/>
  <c r="K69" i="12"/>
  <c r="J81" i="12"/>
  <c r="L87" i="12"/>
  <c r="K87" i="12"/>
  <c r="I76" i="12"/>
  <c r="C68" i="12"/>
  <c r="C67" i="12"/>
  <c r="C66" i="12"/>
  <c r="H86" i="12"/>
  <c r="H85" i="12"/>
  <c r="H84" i="12"/>
  <c r="H82" i="12"/>
  <c r="H87" i="12"/>
  <c r="G90" i="12"/>
  <c r="G85" i="12"/>
  <c r="G84" i="12"/>
  <c r="G82" i="12"/>
  <c r="G79" i="12"/>
  <c r="F90" i="12"/>
  <c r="C24" i="12" s="1"/>
  <c r="F85" i="12"/>
  <c r="F84" i="12"/>
  <c r="C18" i="12" s="1"/>
  <c r="F83" i="12"/>
  <c r="F82" i="12"/>
  <c r="B32" i="15"/>
  <c r="E90" i="12"/>
  <c r="B31" i="15"/>
  <c r="E89" i="12" s="1"/>
  <c r="B30" i="15"/>
  <c r="E88" i="12"/>
  <c r="F28" i="15"/>
  <c r="B27" i="15" s="1"/>
  <c r="E86" i="12" s="1"/>
  <c r="C27" i="15"/>
  <c r="B26" i="15"/>
  <c r="E85" i="12" s="1"/>
  <c r="L24" i="15"/>
  <c r="L25" i="15"/>
  <c r="L26" i="15" s="1"/>
  <c r="L27" i="15" s="1"/>
  <c r="L28" i="15" s="1"/>
  <c r="L29" i="15" s="1"/>
  <c r="L30" i="15" s="1"/>
  <c r="L31" i="15" s="1"/>
  <c r="L32" i="15" s="1"/>
  <c r="L33" i="15" s="1"/>
  <c r="L34" i="15" s="1"/>
  <c r="L35" i="15" s="1"/>
  <c r="L36" i="15" s="1"/>
  <c r="L37" i="15" s="1"/>
  <c r="L38" i="15" s="1"/>
  <c r="L39" i="15" s="1"/>
  <c r="L40" i="15" s="1"/>
  <c r="L41" i="15" s="1"/>
  <c r="L42" i="15" s="1"/>
  <c r="L43" i="15" s="1"/>
  <c r="L44" i="15" s="1"/>
  <c r="L45" i="15" s="1"/>
  <c r="L46" i="15" s="1"/>
  <c r="L47" i="15" s="1"/>
  <c r="L48" i="15" s="1"/>
  <c r="L49" i="15" s="1"/>
  <c r="L50" i="15" s="1"/>
  <c r="L51" i="15" s="1"/>
  <c r="L52" i="15" s="1"/>
  <c r="L53" i="15" s="1"/>
  <c r="L54" i="15" s="1"/>
  <c r="L55" i="15" s="1"/>
  <c r="L56" i="15" s="1"/>
  <c r="L57" i="15" s="1"/>
  <c r="L58" i="15" s="1"/>
  <c r="L59" i="15" s="1"/>
  <c r="L60" i="15" s="1"/>
  <c r="L61" i="15" s="1"/>
  <c r="L62" i="15" s="1"/>
  <c r="L63" i="15" s="1"/>
  <c r="L64" i="15" s="1"/>
  <c r="L65" i="15" s="1"/>
  <c r="L66" i="15" s="1"/>
  <c r="L67" i="15" s="1"/>
  <c r="L68" i="15" s="1"/>
  <c r="L69" i="15" s="1"/>
  <c r="L70" i="15" s="1"/>
  <c r="L71" i="15" s="1"/>
  <c r="L72" i="15" s="1"/>
  <c r="L73" i="15" s="1"/>
  <c r="L74" i="15" s="1"/>
  <c r="L75" i="15" s="1"/>
  <c r="L76" i="15" s="1"/>
  <c r="L77" i="15" s="1"/>
  <c r="L78" i="15" s="1"/>
  <c r="L79" i="15" s="1"/>
  <c r="L80" i="15" s="1"/>
  <c r="L81" i="15" s="1"/>
  <c r="L82" i="15" s="1"/>
  <c r="L83" i="15" s="1"/>
  <c r="L84" i="15" s="1"/>
  <c r="L85" i="15" s="1"/>
  <c r="L86" i="15" s="1"/>
  <c r="L87" i="15" s="1"/>
  <c r="L88" i="15" s="1"/>
  <c r="L89" i="15" s="1"/>
  <c r="L90" i="15" s="1"/>
  <c r="L91" i="15" s="1"/>
  <c r="L92" i="15" s="1"/>
  <c r="L93" i="15" s="1"/>
  <c r="L94" i="15" s="1"/>
  <c r="L95" i="15" s="1"/>
  <c r="L96" i="15" s="1"/>
  <c r="L97" i="15" s="1"/>
  <c r="L98" i="15" s="1"/>
  <c r="L99" i="15" s="1"/>
  <c r="L100" i="15" s="1"/>
  <c r="L101" i="15" s="1"/>
  <c r="L102" i="15" s="1"/>
  <c r="L103" i="15" s="1"/>
  <c r="L104" i="15" s="1"/>
  <c r="L105" i="15" s="1"/>
  <c r="L106" i="15" s="1"/>
  <c r="L107" i="15" s="1"/>
  <c r="L108" i="15" s="1"/>
  <c r="L109" i="15" s="1"/>
  <c r="L110" i="15" s="1"/>
  <c r="L111" i="15" s="1"/>
  <c r="L112" i="15" s="1"/>
  <c r="L113" i="15" s="1"/>
  <c r="L114" i="15" s="1"/>
  <c r="L115" i="15" s="1"/>
  <c r="L116" i="15" s="1"/>
  <c r="L117" i="15" s="1"/>
  <c r="L118" i="15" s="1"/>
  <c r="L119" i="15" s="1"/>
  <c r="L120" i="15" s="1"/>
  <c r="L121" i="15" s="1"/>
  <c r="L122" i="15" s="1"/>
  <c r="J23" i="15"/>
  <c r="F6" i="15" s="1"/>
  <c r="E76" i="12" s="1"/>
  <c r="P5" i="15"/>
  <c r="D85" i="12"/>
  <c r="C85" i="12"/>
  <c r="E69" i="12"/>
  <c r="C14" i="15"/>
  <c r="B16" i="15"/>
  <c r="B17" i="15" s="1"/>
  <c r="H79" i="12"/>
  <c r="H72" i="12"/>
  <c r="G72" i="12"/>
  <c r="F69" i="12"/>
  <c r="F79" i="12"/>
  <c r="C13" i="12" s="1"/>
  <c r="F72" i="12"/>
  <c r="C79" i="12"/>
  <c r="L79" i="12"/>
  <c r="K79" i="12"/>
  <c r="J79" i="12"/>
  <c r="I79" i="12"/>
  <c r="F70" i="12"/>
  <c r="F71" i="12" s="1"/>
  <c r="E70" i="12"/>
  <c r="E71" i="12" s="1"/>
  <c r="F80" i="12"/>
  <c r="B33" i="17" l="1"/>
  <c r="B3" i="12"/>
  <c r="B4" i="12" s="1"/>
  <c r="G29" i="12" s="1"/>
  <c r="G30" i="12" s="1"/>
  <c r="D72" i="12"/>
  <c r="C19" i="12"/>
  <c r="D19" i="12" s="1"/>
  <c r="E19" i="12" s="1"/>
  <c r="F19" i="12" s="1"/>
  <c r="G19" i="12" s="1"/>
  <c r="H19" i="12" s="1"/>
  <c r="I19" i="12" s="1"/>
  <c r="J19" i="12" s="1"/>
  <c r="K19" i="12" s="1"/>
  <c r="L19" i="12" s="1"/>
  <c r="B101" i="12"/>
  <c r="C21" i="12"/>
  <c r="D21" i="12" s="1"/>
  <c r="E21" i="12" s="1"/>
  <c r="F21" i="12" s="1"/>
  <c r="G21" i="12" s="1"/>
  <c r="H21" i="12" s="1"/>
  <c r="I21" i="12" s="1"/>
  <c r="J21" i="12" s="1"/>
  <c r="K21" i="12" s="1"/>
  <c r="L21" i="12" s="1"/>
  <c r="C20" i="12"/>
  <c r="D20" i="12" s="1"/>
  <c r="E20" i="12" s="1"/>
  <c r="F20" i="12" s="1"/>
  <c r="G20" i="12" s="1"/>
  <c r="H20" i="12" s="1"/>
  <c r="I20" i="12" s="1"/>
  <c r="J20" i="12" s="1"/>
  <c r="K20" i="12" s="1"/>
  <c r="L20" i="12" s="1"/>
  <c r="C23" i="12"/>
  <c r="D23" i="12" s="1"/>
  <c r="E23" i="12" s="1"/>
  <c r="F23" i="12" s="1"/>
  <c r="G23" i="12" s="1"/>
  <c r="H23" i="12" s="1"/>
  <c r="I23" i="12" s="1"/>
  <c r="J23" i="12" s="1"/>
  <c r="K23" i="12" s="1"/>
  <c r="L23" i="12" s="1"/>
  <c r="C22" i="12"/>
  <c r="D22" i="12" s="1"/>
  <c r="E22" i="12" s="1"/>
  <c r="F22" i="12" s="1"/>
  <c r="G22" i="12" s="1"/>
  <c r="H22" i="12" s="1"/>
  <c r="I22" i="12" s="1"/>
  <c r="J22" i="12" s="1"/>
  <c r="K22" i="12" s="1"/>
  <c r="L22" i="12" s="1"/>
  <c r="B2" i="12"/>
  <c r="B15" i="13"/>
  <c r="B21" i="13" s="1"/>
  <c r="C81" i="12" s="1"/>
  <c r="J2" i="15"/>
  <c r="E77" i="12" s="1"/>
  <c r="B20" i="15"/>
  <c r="E79" i="12" s="1"/>
  <c r="J3" i="17"/>
  <c r="G87" i="12"/>
  <c r="G76" i="12"/>
  <c r="G94" i="12"/>
  <c r="H76" i="12"/>
  <c r="H94" i="12"/>
  <c r="B21" i="15"/>
  <c r="E80" i="12" s="1"/>
  <c r="B28" i="19"/>
  <c r="I88" i="12" s="1"/>
  <c r="H69" i="12"/>
  <c r="B16" i="18"/>
  <c r="C14" i="22"/>
  <c r="G69" i="12"/>
  <c r="J69" i="12"/>
  <c r="C14" i="17"/>
  <c r="J5" i="13"/>
  <c r="I94" i="12"/>
  <c r="B21" i="16"/>
  <c r="J3" i="15"/>
  <c r="E72" i="12"/>
  <c r="B28" i="15"/>
  <c r="E87" i="12" s="1"/>
  <c r="E94" i="12"/>
  <c r="Q5" i="13"/>
  <c r="C72" i="12"/>
  <c r="B102" i="12" s="1"/>
  <c r="B16" i="22"/>
  <c r="L69" i="12"/>
  <c r="H30" i="12"/>
  <c r="E34" i="12"/>
  <c r="C10" i="12"/>
  <c r="C94" i="12"/>
  <c r="B16" i="20"/>
  <c r="J87" i="12"/>
  <c r="J76" i="12"/>
  <c r="J94" i="12"/>
  <c r="J88" i="12"/>
  <c r="J10" i="12"/>
  <c r="J29" i="12"/>
  <c r="H31" i="12"/>
  <c r="D35" i="12"/>
  <c r="K29" i="12"/>
  <c r="J31" i="12"/>
  <c r="F35" i="12"/>
  <c r="E10" i="12"/>
  <c r="C29" i="12"/>
  <c r="K30" i="12"/>
  <c r="F34" i="12"/>
  <c r="I70" i="12"/>
  <c r="I71" i="12" s="1"/>
  <c r="G10" i="12"/>
  <c r="E29" i="12"/>
  <c r="E30" i="12"/>
  <c r="C31" i="12"/>
  <c r="K31" i="12"/>
  <c r="J34" i="12"/>
  <c r="I35" i="12"/>
  <c r="I69" i="12"/>
  <c r="I10" i="12"/>
  <c r="H29" i="12"/>
  <c r="F30" i="12"/>
  <c r="E31" i="12"/>
  <c r="D34" i="12"/>
  <c r="K34" i="12"/>
  <c r="J35" i="12"/>
  <c r="D16" i="12"/>
  <c r="E16" i="12" s="1"/>
  <c r="F16" i="12" s="1"/>
  <c r="G16" i="12" s="1"/>
  <c r="H16" i="12" s="1"/>
  <c r="I16" i="12" s="1"/>
  <c r="J16" i="12" s="1"/>
  <c r="K16" i="12" s="1"/>
  <c r="L16" i="12" s="1"/>
  <c r="B33" i="19"/>
  <c r="B34" i="19" s="1"/>
  <c r="F10" i="12"/>
  <c r="K10" i="12"/>
  <c r="F29" i="12"/>
  <c r="C30" i="12"/>
  <c r="J30" i="12"/>
  <c r="F31" i="12"/>
  <c r="B34" i="12"/>
  <c r="I34" i="12"/>
  <c r="E35" i="12"/>
  <c r="K35" i="12"/>
  <c r="J3" i="19"/>
  <c r="I80" i="12"/>
  <c r="I92" i="12" s="1"/>
  <c r="B33" i="21"/>
  <c r="B34" i="21" s="1"/>
  <c r="K80" i="12"/>
  <c r="K92" i="12" s="1"/>
  <c r="E92" i="12"/>
  <c r="B34" i="17"/>
  <c r="G80" i="12"/>
  <c r="J2" i="17"/>
  <c r="G77" i="12" s="1"/>
  <c r="G70" i="12"/>
  <c r="G71" i="12" s="1"/>
  <c r="F94" i="12"/>
  <c r="T5" i="16"/>
  <c r="J3" i="21"/>
  <c r="D10" i="12"/>
  <c r="H10" i="12"/>
  <c r="L10" i="12"/>
  <c r="D29" i="12"/>
  <c r="I29" i="12"/>
  <c r="D30" i="12"/>
  <c r="I30" i="12"/>
  <c r="D31" i="12"/>
  <c r="I31" i="12"/>
  <c r="C34" i="12"/>
  <c r="H34" i="12"/>
  <c r="C35" i="12"/>
  <c r="H35" i="12"/>
  <c r="Q8" i="16"/>
  <c r="Z7" i="16"/>
  <c r="Q8" i="13"/>
  <c r="Z7" i="13"/>
  <c r="Z6" i="16"/>
  <c r="Z6" i="13"/>
  <c r="B21" i="14"/>
  <c r="D81" i="12" s="1"/>
  <c r="C14" i="14"/>
  <c r="G31" i="12"/>
  <c r="D17" i="12"/>
  <c r="E17" i="12" s="1"/>
  <c r="F17" i="12" s="1"/>
  <c r="G17" i="12" s="1"/>
  <c r="H17" i="12" s="1"/>
  <c r="I17" i="12" s="1"/>
  <c r="J17" i="12" s="1"/>
  <c r="K17" i="12" s="1"/>
  <c r="L17" i="12" s="1"/>
  <c r="D13" i="12"/>
  <c r="E13" i="12" s="1"/>
  <c r="F13" i="12" s="1"/>
  <c r="G13" i="12" s="1"/>
  <c r="H13" i="12" s="1"/>
  <c r="I13" i="12" s="1"/>
  <c r="J13" i="12" s="1"/>
  <c r="K13" i="12" s="1"/>
  <c r="L13" i="12" s="1"/>
  <c r="D69" i="12"/>
  <c r="B16" i="14"/>
  <c r="D24" i="12"/>
  <c r="E24" i="12" s="1"/>
  <c r="F24" i="12" s="1"/>
  <c r="G24" i="12" s="1"/>
  <c r="H24" i="12" s="1"/>
  <c r="I24" i="12" s="1"/>
  <c r="J24" i="12" s="1"/>
  <c r="K24" i="12" s="1"/>
  <c r="L24" i="12" s="1"/>
  <c r="D76" i="12"/>
  <c r="D94" i="12"/>
  <c r="D87" i="12"/>
  <c r="D18" i="12"/>
  <c r="E18" i="12" s="1"/>
  <c r="F18" i="12" s="1"/>
  <c r="G18" i="12" s="1"/>
  <c r="H18" i="12" s="1"/>
  <c r="I18" i="12" s="1"/>
  <c r="J18" i="12" s="1"/>
  <c r="K18" i="12" s="1"/>
  <c r="L18" i="12" s="1"/>
  <c r="J2" i="21" l="1"/>
  <c r="K77" i="12" s="1"/>
  <c r="L31" i="12"/>
  <c r="C69" i="12"/>
  <c r="C14" i="13"/>
  <c r="B28" i="12"/>
  <c r="B32" i="12" s="1"/>
  <c r="B33" i="12" s="1"/>
  <c r="R5" i="13"/>
  <c r="AA5" i="13" s="1"/>
  <c r="B16" i="13"/>
  <c r="B17" i="13" s="1"/>
  <c r="B20" i="13" s="1"/>
  <c r="B33" i="13" s="1"/>
  <c r="L29" i="12"/>
  <c r="L30" i="12" s="1"/>
  <c r="G92" i="12"/>
  <c r="F81" i="12"/>
  <c r="B33" i="16"/>
  <c r="J3" i="16"/>
  <c r="B17" i="18"/>
  <c r="H70" i="12"/>
  <c r="H71" i="12" s="1"/>
  <c r="B33" i="15"/>
  <c r="B34" i="15" s="1"/>
  <c r="B17" i="22"/>
  <c r="B20" i="22" s="1"/>
  <c r="L70" i="12"/>
  <c r="L71" i="12" s="1"/>
  <c r="B17" i="20"/>
  <c r="B20" i="20" s="1"/>
  <c r="J70" i="12"/>
  <c r="J71" i="12" s="1"/>
  <c r="J2" i="19"/>
  <c r="I77" i="12" s="1"/>
  <c r="P4" i="21"/>
  <c r="P6" i="21" s="1"/>
  <c r="P7" i="21" s="1"/>
  <c r="Q9" i="13"/>
  <c r="Z8" i="13"/>
  <c r="Z8" i="16"/>
  <c r="Q9" i="16"/>
  <c r="AC5" i="16"/>
  <c r="U5" i="16"/>
  <c r="P4" i="17"/>
  <c r="P6" i="17" s="1"/>
  <c r="P7" i="17" s="1"/>
  <c r="P4" i="19"/>
  <c r="P6" i="19" s="1"/>
  <c r="P7" i="19" s="1"/>
  <c r="B17" i="14"/>
  <c r="B20" i="14" s="1"/>
  <c r="D70" i="12"/>
  <c r="D71" i="12" s="1"/>
  <c r="S5" i="13" l="1"/>
  <c r="C70" i="12"/>
  <c r="C71" i="12" s="1"/>
  <c r="C11" i="12" s="1"/>
  <c r="D11" i="12" s="1"/>
  <c r="E11" i="12" s="1"/>
  <c r="F11" i="12" s="1"/>
  <c r="G11" i="12" s="1"/>
  <c r="H11" i="12" s="1"/>
  <c r="J3" i="13"/>
  <c r="C80" i="12"/>
  <c r="C92" i="12" s="1"/>
  <c r="C14" i="12"/>
  <c r="D14" i="12" s="1"/>
  <c r="E14" i="12" s="1"/>
  <c r="F14" i="12" s="1"/>
  <c r="G14" i="12" s="1"/>
  <c r="H14" i="12" s="1"/>
  <c r="I14" i="12" s="1"/>
  <c r="J14" i="12" s="1"/>
  <c r="K14" i="12" s="1"/>
  <c r="L14" i="12" s="1"/>
  <c r="J2" i="16"/>
  <c r="F77" i="12" s="1"/>
  <c r="B34" i="16"/>
  <c r="C15" i="12"/>
  <c r="F92" i="12"/>
  <c r="B20" i="18"/>
  <c r="J3" i="18" s="1"/>
  <c r="P4" i="15"/>
  <c r="P6" i="15" s="1"/>
  <c r="P7" i="15" s="1"/>
  <c r="J3" i="22"/>
  <c r="AB5" i="13"/>
  <c r="T5" i="13"/>
  <c r="J3" i="20"/>
  <c r="B34" i="13"/>
  <c r="J2" i="13"/>
  <c r="C77" i="12" s="1"/>
  <c r="AD5" i="16"/>
  <c r="V5" i="16"/>
  <c r="Q10" i="16"/>
  <c r="Z9" i="16"/>
  <c r="Z9" i="13"/>
  <c r="Q10" i="13"/>
  <c r="I11" i="12" l="1"/>
  <c r="C26" i="12"/>
  <c r="C32" i="12" s="1"/>
  <c r="C33" i="12" s="1"/>
  <c r="D15" i="12"/>
  <c r="B33" i="18"/>
  <c r="H80" i="12"/>
  <c r="H92" i="12" s="1"/>
  <c r="B33" i="22"/>
  <c r="L80" i="12"/>
  <c r="L92" i="12" s="1"/>
  <c r="AC5" i="13"/>
  <c r="U5" i="13"/>
  <c r="J80" i="12"/>
  <c r="J92" i="12" s="1"/>
  <c r="B33" i="20"/>
  <c r="Q11" i="16"/>
  <c r="Z10" i="16"/>
  <c r="Q11" i="13"/>
  <c r="Z10" i="13"/>
  <c r="W5" i="16"/>
  <c r="AE5" i="16"/>
  <c r="D80" i="12"/>
  <c r="D92" i="12" s="1"/>
  <c r="B33" i="14"/>
  <c r="J3" i="14"/>
  <c r="J11" i="12" l="1"/>
  <c r="E15" i="12"/>
  <c r="D26" i="12"/>
  <c r="D32" i="12" s="1"/>
  <c r="D33" i="12" s="1"/>
  <c r="B34" i="18"/>
  <c r="J2" i="18"/>
  <c r="H77" i="12" s="1"/>
  <c r="J2" i="22"/>
  <c r="L77" i="12" s="1"/>
  <c r="B34" i="22"/>
  <c r="J4" i="22" s="1"/>
  <c r="AD5" i="13"/>
  <c r="V5" i="13"/>
  <c r="J2" i="20"/>
  <c r="J77" i="12" s="1"/>
  <c r="B34" i="20"/>
  <c r="Q12" i="13"/>
  <c r="Z11" i="13"/>
  <c r="X5" i="16"/>
  <c r="AG5" i="16" s="1"/>
  <c r="AF5" i="16"/>
  <c r="Q12" i="16"/>
  <c r="Z11" i="16"/>
  <c r="J2" i="14"/>
  <c r="D77" i="12" s="1"/>
  <c r="B34" i="14"/>
  <c r="K11" i="12" l="1"/>
  <c r="P4" i="18"/>
  <c r="P6" i="18" s="1"/>
  <c r="P7" i="18" s="1"/>
  <c r="F15" i="12"/>
  <c r="E26" i="12"/>
  <c r="E32" i="12" s="1"/>
  <c r="E33" i="12" s="1"/>
  <c r="P4" i="22"/>
  <c r="P6" i="22" s="1"/>
  <c r="P7" i="22" s="1"/>
  <c r="W5" i="13"/>
  <c r="AE5" i="13"/>
  <c r="P4" i="20"/>
  <c r="P6" i="20" s="1"/>
  <c r="P7" i="20" s="1"/>
  <c r="Z12" i="16"/>
  <c r="Q13" i="16"/>
  <c r="Q13" i="13"/>
  <c r="Z12" i="13"/>
  <c r="P4" i="14"/>
  <c r="P6" i="14" s="1"/>
  <c r="P7" i="14" s="1"/>
  <c r="L11" i="12" l="1"/>
  <c r="G15" i="12"/>
  <c r="F26" i="12"/>
  <c r="F32" i="12" s="1"/>
  <c r="F33" i="12" s="1"/>
  <c r="X5" i="13"/>
  <c r="AG5" i="13" s="1"/>
  <c r="AF5" i="13"/>
  <c r="Q14" i="16"/>
  <c r="Z13" i="16"/>
  <c r="Q14" i="13"/>
  <c r="Z13" i="13"/>
  <c r="G26" i="12" l="1"/>
  <c r="G32" i="12" s="1"/>
  <c r="G33" i="12" s="1"/>
  <c r="H15" i="12"/>
  <c r="Z14" i="13"/>
  <c r="Q15" i="13"/>
  <c r="Z15" i="13" s="1"/>
  <c r="Q15" i="16"/>
  <c r="Z15" i="16" s="1"/>
  <c r="Z14" i="16"/>
  <c r="G34" i="12" l="1"/>
  <c r="I15" i="12"/>
  <c r="H26" i="12"/>
  <c r="H32" i="12" s="1"/>
  <c r="H33" i="12" s="1"/>
  <c r="G35" i="12"/>
  <c r="J15" i="12" l="1"/>
  <c r="I26" i="12"/>
  <c r="I32" i="12" s="1"/>
  <c r="I33" i="12" s="1"/>
  <c r="K15" i="12" l="1"/>
  <c r="J26" i="12"/>
  <c r="J32" i="12" s="1"/>
  <c r="J33" i="12" s="1"/>
  <c r="L15" i="12" l="1"/>
  <c r="L26" i="12" s="1"/>
  <c r="L32" i="12" s="1"/>
  <c r="K26" i="12"/>
  <c r="K32" i="12" s="1"/>
  <c r="K33" i="12" s="1"/>
  <c r="L33" i="12" l="1"/>
  <c r="L34" i="12" s="1"/>
  <c r="L35" i="12" l="1"/>
</calcChain>
</file>

<file path=xl/sharedStrings.xml><?xml version="1.0" encoding="utf-8"?>
<sst xmlns="http://schemas.openxmlformats.org/spreadsheetml/2006/main" count="945" uniqueCount="118">
  <si>
    <t>Cash on Cash Return (Velocity)</t>
  </si>
  <si>
    <t>Closing &amp; Other Costs</t>
  </si>
  <si>
    <t>Attorney</t>
  </si>
  <si>
    <t>Inspection</t>
  </si>
  <si>
    <t>Tax Stamp Rate</t>
  </si>
  <si>
    <t>Appraisal</t>
  </si>
  <si>
    <t>Tax Stamps</t>
  </si>
  <si>
    <t>Title Insurance</t>
  </si>
  <si>
    <t>Title Closing</t>
  </si>
  <si>
    <t>Title Doc Prep</t>
  </si>
  <si>
    <t>Recording Fees</t>
  </si>
  <si>
    <t>Bank Fees</t>
  </si>
  <si>
    <t>Total</t>
  </si>
  <si>
    <t>Closing Points</t>
  </si>
  <si>
    <t>Property #</t>
  </si>
  <si>
    <t>Street</t>
  </si>
  <si>
    <t>Annualized ROI</t>
  </si>
  <si>
    <t>Purchase Price</t>
  </si>
  <si>
    <t>Year of Sale</t>
  </si>
  <si>
    <t>(max 10 years)</t>
  </si>
  <si>
    <t>Year #</t>
  </si>
  <si>
    <t>Income</t>
  </si>
  <si>
    <t>Expenses</t>
  </si>
  <si>
    <t>Management Company</t>
  </si>
  <si>
    <t>Tenant Finder Fee</t>
  </si>
  <si>
    <t>Water</t>
  </si>
  <si>
    <t>Sewer</t>
  </si>
  <si>
    <t>Electric</t>
  </si>
  <si>
    <t>Gas</t>
  </si>
  <si>
    <t>Other Utilities</t>
  </si>
  <si>
    <t>Maintenance Allowance</t>
  </si>
  <si>
    <t>Mortgage</t>
  </si>
  <si>
    <t>Insurance</t>
  </si>
  <si>
    <t>Fire Tax</t>
  </si>
  <si>
    <t>Real Estate Taxes</t>
  </si>
  <si>
    <t>Net Income</t>
  </si>
  <si>
    <t>Initial Costs</t>
  </si>
  <si>
    <t>Sales Proceeds</t>
  </si>
  <si>
    <t>Realtor Fee (6%)</t>
  </si>
  <si>
    <t>Debt Payoff</t>
  </si>
  <si>
    <t>Cash Flow</t>
  </si>
  <si>
    <t>Cumulative Cash Flow</t>
  </si>
  <si>
    <t>Total ROI</t>
  </si>
  <si>
    <t>Year Reference</t>
  </si>
  <si>
    <t>Renovation Costs</t>
  </si>
  <si>
    <t>Number of Units</t>
  </si>
  <si>
    <t>Rent Per Month</t>
  </si>
  <si>
    <t>Annual Rent no Vacancy</t>
  </si>
  <si>
    <t>Annual Rent w/Vacancy</t>
  </si>
  <si>
    <t>Loan Principle</t>
  </si>
  <si>
    <t>Loan Term</t>
  </si>
  <si>
    <t>Interest Rate</t>
  </si>
  <si>
    <t>Other Closing Costs</t>
  </si>
  <si>
    <t>Debt Coverage</t>
  </si>
  <si>
    <t>Operating Expenses</t>
  </si>
  <si>
    <t>Mortgage (monthly)</t>
  </si>
  <si>
    <t>Total Expenses</t>
  </si>
  <si>
    <t>Vacancy Rate</t>
  </si>
  <si>
    <t>Specific Property Interest Rate</t>
  </si>
  <si>
    <t>Specific Property Loan Term</t>
  </si>
  <si>
    <t>Specific Property Loan Principle</t>
  </si>
  <si>
    <t>Mortgage Calculator</t>
  </si>
  <si>
    <t>Ratio Analysis</t>
  </si>
  <si>
    <t>City</t>
  </si>
  <si>
    <t>Principle</t>
  </si>
  <si>
    <t>Buyer's Realtor Fee</t>
  </si>
  <si>
    <t>Term (years)</t>
  </si>
  <si>
    <t>LTV</t>
  </si>
  <si>
    <t>Annual Interest Rate</t>
  </si>
  <si>
    <t>Cap Rate</t>
  </si>
  <si>
    <t>Period to be Owned (yrs)</t>
  </si>
  <si>
    <t>Assumed Vacancy Rate</t>
  </si>
  <si>
    <t>Assumed Annual Appreciation</t>
  </si>
  <si>
    <t>Debt/Equity Ratio</t>
  </si>
  <si>
    <t>end of year</t>
  </si>
  <si>
    <t>Asking Price</t>
  </si>
  <si>
    <t>Purchase Price/Value</t>
  </si>
  <si>
    <t>Total Rent per Month</t>
  </si>
  <si>
    <t>Annual Revenue (0% vacancy)</t>
  </si>
  <si>
    <t>Monthly Operating Expenses</t>
  </si>
  <si>
    <t>= Expected Average Minimum Rent</t>
  </si>
  <si>
    <t>management fee</t>
  </si>
  <si>
    <t>one time fee</t>
  </si>
  <si>
    <t>years tenancy assumed</t>
  </si>
  <si>
    <t>= Total Rental Income</t>
  </si>
  <si>
    <t>cost per unit per year</t>
  </si>
  <si>
    <t>Unit #</t>
  </si>
  <si>
    <t>Rent/Month</t>
  </si>
  <si>
    <t>cost per unit per month</t>
  </si>
  <si>
    <t>of purchase price</t>
  </si>
  <si>
    <t>total per year</t>
  </si>
  <si>
    <t>total cost per year</t>
  </si>
  <si>
    <t>Net</t>
  </si>
  <si>
    <t>Other</t>
  </si>
  <si>
    <t>Assumed Annual Rent Growth</t>
  </si>
  <si>
    <t>Assumed Annual Cost Growth</t>
  </si>
  <si>
    <t>Purchase Price + Renovation Cost</t>
  </si>
  <si>
    <t>Renovation Cost</t>
  </si>
  <si>
    <t>Period to be Owned (years)</t>
  </si>
  <si>
    <t>Exterminator</t>
  </si>
  <si>
    <t>Carpeting</t>
  </si>
  <si>
    <t>Ceilings</t>
  </si>
  <si>
    <t>Painting</t>
  </si>
  <si>
    <t>Cupboard Repairs</t>
  </si>
  <si>
    <t>Estimate</t>
  </si>
  <si>
    <t>Work Item</t>
  </si>
  <si>
    <t>Remove Debris from Basement and Other</t>
  </si>
  <si>
    <t>Plumbing Stack</t>
  </si>
  <si>
    <t>add in $500/mo for garages</t>
  </si>
  <si>
    <t>= Minimum monthly fee'</t>
  </si>
  <si>
    <t>N Adams, MA</t>
  </si>
  <si>
    <t>50 Bracewell</t>
  </si>
  <si>
    <t>195 Belmont St</t>
  </si>
  <si>
    <t>Manchester, NH</t>
  </si>
  <si>
    <t>Cash needed at Closing</t>
  </si>
  <si>
    <t>Second Mortgage Calculator</t>
  </si>
  <si>
    <t>Second Mortgage (monthly)</t>
  </si>
  <si>
    <t>first mtg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</si>
</sst>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0.0%"/>
    <numFmt numFmtId="165" formatCode="&quot;$&quot;#,##0"/>
  </numFmts>
  <fonts count="2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1F497D"/>
      <name val="Calibri"/>
      <family val="2"/>
      <scheme val="minor"/>
    </font>
    <font>
      <sz val="10"/>
      <name val="Calibri"/>
      <family val="2"/>
      <scheme val="minor"/>
    </font>
    <font>
      <sz val="10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1F497D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1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3">
    <xf numFmtId="0" fontId="0" fillId="0" borderId="0" xfId="0"/>
    <xf numFmtId="0" fontId="2" fillId="0" borderId="0" xfId="0" applyFont="1"/>
    <xf numFmtId="2" fontId="5" fillId="0" borderId="0" xfId="2" quotePrefix="1" applyNumberFormat="1" applyFont="1" applyBorder="1" applyAlignment="1">
      <alignment horizontal="center"/>
    </xf>
    <xf numFmtId="0" fontId="4" fillId="0" borderId="0" xfId="0" applyFont="1"/>
    <xf numFmtId="0" fontId="4" fillId="0" borderId="4" xfId="0" applyFont="1" applyBorder="1"/>
    <xf numFmtId="3" fontId="6" fillId="0" borderId="8" xfId="0" applyNumberFormat="1" applyFont="1" applyBorder="1"/>
    <xf numFmtId="3" fontId="6" fillId="0" borderId="3" xfId="0" applyNumberFormat="1" applyFont="1" applyBorder="1"/>
    <xf numFmtId="10" fontId="6" fillId="0" borderId="0" xfId="0" applyNumberFormat="1" applyFont="1"/>
    <xf numFmtId="3" fontId="5" fillId="0" borderId="3" xfId="0" applyNumberFormat="1" applyFont="1" applyBorder="1"/>
    <xf numFmtId="3" fontId="6" fillId="0" borderId="6" xfId="0" applyNumberFormat="1" applyFont="1" applyBorder="1"/>
    <xf numFmtId="16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7" fillId="0" borderId="0" xfId="0" applyFont="1"/>
    <xf numFmtId="164" fontId="7" fillId="0" borderId="0" xfId="0" quotePrefix="1" applyNumberFormat="1" applyFont="1"/>
    <xf numFmtId="3" fontId="7" fillId="0" borderId="0" xfId="0" applyNumberFormat="1" applyFont="1"/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/>
    <xf numFmtId="3" fontId="7" fillId="0" borderId="0" xfId="0" quotePrefix="1" applyNumberFormat="1" applyFont="1"/>
    <xf numFmtId="0" fontId="7" fillId="0" borderId="1" xfId="0" applyFont="1" applyBorder="1"/>
    <xf numFmtId="3" fontId="7" fillId="0" borderId="1" xfId="0" applyNumberFormat="1" applyFont="1" applyBorder="1"/>
    <xf numFmtId="4" fontId="7" fillId="0" borderId="0" xfId="0" applyNumberFormat="1" applyFont="1"/>
    <xf numFmtId="164" fontId="7" fillId="0" borderId="0" xfId="0" applyNumberFormat="1" applyFont="1"/>
    <xf numFmtId="3" fontId="0" fillId="0" borderId="0" xfId="0" applyNumberFormat="1"/>
    <xf numFmtId="1" fontId="0" fillId="0" borderId="0" xfId="0" quotePrefix="1" applyNumberFormat="1"/>
    <xf numFmtId="10" fontId="0" fillId="0" borderId="0" xfId="0" applyNumberFormat="1"/>
    <xf numFmtId="4" fontId="0" fillId="0" borderId="0" xfId="0" applyNumberFormat="1"/>
    <xf numFmtId="3" fontId="0" fillId="0" borderId="0" xfId="0" quotePrefix="1" applyNumberFormat="1"/>
    <xf numFmtId="9" fontId="0" fillId="0" borderId="0" xfId="0" quotePrefix="1" applyNumberFormat="1"/>
    <xf numFmtId="10" fontId="7" fillId="0" borderId="0" xfId="0" applyNumberFormat="1" applyFont="1"/>
    <xf numFmtId="1" fontId="7" fillId="0" borderId="0" xfId="0" applyNumberFormat="1" applyFont="1"/>
    <xf numFmtId="0" fontId="4" fillId="0" borderId="7" xfId="0" applyFont="1" applyBorder="1"/>
    <xf numFmtId="0" fontId="6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4" fillId="0" borderId="11" xfId="0" applyFont="1" applyBorder="1"/>
    <xf numFmtId="0" fontId="0" fillId="0" borderId="10" xfId="0" applyBorder="1"/>
    <xf numFmtId="0" fontId="0" fillId="0" borderId="11" xfId="0" applyBorder="1"/>
    <xf numFmtId="0" fontId="6" fillId="0" borderId="3" xfId="0" applyFont="1" applyBorder="1"/>
    <xf numFmtId="0" fontId="3" fillId="0" borderId="4" xfId="0" applyFont="1" applyBorder="1"/>
    <xf numFmtId="165" fontId="5" fillId="0" borderId="3" xfId="1" applyNumberFormat="1" applyFont="1" applyBorder="1"/>
    <xf numFmtId="0" fontId="3" fillId="0" borderId="7" xfId="0" applyFont="1" applyBorder="1"/>
    <xf numFmtId="0" fontId="0" fillId="0" borderId="2" xfId="0" applyBorder="1"/>
    <xf numFmtId="4" fontId="5" fillId="0" borderId="2" xfId="0" applyNumberFormat="1" applyFont="1" applyBorder="1" applyAlignment="1">
      <alignment horizontal="center"/>
    </xf>
    <xf numFmtId="0" fontId="3" fillId="0" borderId="2" xfId="0" applyFont="1" applyBorder="1"/>
    <xf numFmtId="164" fontId="5" fillId="0" borderId="8" xfId="2" quotePrefix="1" applyNumberFormat="1" applyFont="1" applyBorder="1" applyAlignment="1">
      <alignment horizontal="center"/>
    </xf>
    <xf numFmtId="44" fontId="5" fillId="0" borderId="0" xfId="1" quotePrefix="1" applyFont="1" applyBorder="1" applyAlignment="1">
      <alignment horizontal="center"/>
    </xf>
    <xf numFmtId="164" fontId="6" fillId="0" borderId="3" xfId="0" applyNumberFormat="1" applyFont="1" applyBorder="1" applyAlignment="1">
      <alignment horizontal="left"/>
    </xf>
    <xf numFmtId="164" fontId="5" fillId="0" borderId="0" xfId="2" applyNumberFormat="1" applyFont="1" applyBorder="1" applyAlignment="1">
      <alignment horizontal="center"/>
    </xf>
    <xf numFmtId="164" fontId="4" fillId="0" borderId="3" xfId="2" applyNumberFormat="1" applyFont="1" applyBorder="1" applyAlignment="1">
      <alignment horizontal="left"/>
    </xf>
    <xf numFmtId="9" fontId="6" fillId="0" borderId="3" xfId="0" applyNumberFormat="1" applyFont="1" applyBorder="1" applyAlignment="1">
      <alignment horizontal="left"/>
    </xf>
    <xf numFmtId="10" fontId="6" fillId="0" borderId="3" xfId="2" applyNumberFormat="1" applyFont="1" applyBorder="1"/>
    <xf numFmtId="0" fontId="4" fillId="0" borderId="4" xfId="0" applyFont="1" applyBorder="1" applyAlignment="1">
      <alignment horizontal="left"/>
    </xf>
    <xf numFmtId="0" fontId="4" fillId="0" borderId="3" xfId="0" applyFont="1" applyBorder="1"/>
    <xf numFmtId="0" fontId="10" fillId="0" borderId="0" xfId="0" applyFont="1"/>
    <xf numFmtId="38" fontId="5" fillId="0" borderId="0" xfId="2" quotePrefix="1" applyNumberFormat="1" applyFont="1" applyBorder="1" applyAlignment="1">
      <alignment horizontal="center"/>
    </xf>
    <xf numFmtId="3" fontId="4" fillId="0" borderId="0" xfId="0" quotePrefix="1" applyNumberFormat="1" applyFont="1"/>
    <xf numFmtId="1" fontId="6" fillId="0" borderId="3" xfId="0" applyNumberFormat="1" applyFont="1" applyBorder="1" applyAlignment="1">
      <alignment horizontal="left"/>
    </xf>
    <xf numFmtId="164" fontId="6" fillId="0" borderId="3" xfId="2" applyNumberFormat="1" applyFont="1" applyBorder="1"/>
    <xf numFmtId="3" fontId="4" fillId="0" borderId="1" xfId="0" applyNumberFormat="1" applyFont="1" applyBorder="1"/>
    <xf numFmtId="9" fontId="6" fillId="0" borderId="3" xfId="2" applyFont="1" applyBorder="1" applyAlignment="1">
      <alignment horizontal="left"/>
    </xf>
    <xf numFmtId="0" fontId="4" fillId="0" borderId="5" xfId="0" applyFont="1" applyBorder="1"/>
    <xf numFmtId="0" fontId="3" fillId="0" borderId="1" xfId="0" applyFont="1" applyBorder="1"/>
    <xf numFmtId="165" fontId="5" fillId="0" borderId="6" xfId="2" applyNumberFormat="1" applyFont="1" applyBorder="1"/>
    <xf numFmtId="0" fontId="4" fillId="0" borderId="3" xfId="0" applyFont="1" applyBorder="1" applyAlignment="1">
      <alignment horizontal="center"/>
    </xf>
    <xf numFmtId="3" fontId="4" fillId="0" borderId="0" xfId="0" applyNumberFormat="1" applyFont="1"/>
    <xf numFmtId="165" fontId="5" fillId="0" borderId="0" xfId="2" applyNumberFormat="1" applyFont="1" applyBorder="1"/>
    <xf numFmtId="164" fontId="11" fillId="0" borderId="0" xfId="2" quotePrefix="1" applyNumberFormat="1" applyFont="1" applyBorder="1" applyAlignment="1">
      <alignment horizontal="left"/>
    </xf>
    <xf numFmtId="0" fontId="5" fillId="0" borderId="0" xfId="0" applyFont="1" applyAlignment="1">
      <alignment horizontal="center"/>
    </xf>
    <xf numFmtId="0" fontId="0" fillId="0" borderId="6" xfId="0" applyBorder="1"/>
    <xf numFmtId="9" fontId="5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left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6" xfId="0" applyFont="1" applyBorder="1"/>
    <xf numFmtId="38" fontId="0" fillId="0" borderId="0" xfId="0" applyNumberFormat="1"/>
    <xf numFmtId="3" fontId="6" fillId="0" borderId="2" xfId="0" applyNumberFormat="1" applyFont="1" applyBorder="1"/>
    <xf numFmtId="0" fontId="4" fillId="0" borderId="4" xfId="0" applyFont="1" applyBorder="1" applyAlignment="1">
      <alignment horizontal="center"/>
    </xf>
    <xf numFmtId="3" fontId="6" fillId="0" borderId="0" xfId="0" applyNumberFormat="1" applyFont="1"/>
    <xf numFmtId="0" fontId="6" fillId="0" borderId="0" xfId="0" applyFont="1"/>
    <xf numFmtId="0" fontId="12" fillId="0" borderId="4" xfId="0" applyFont="1" applyBorder="1"/>
    <xf numFmtId="165" fontId="8" fillId="0" borderId="7" xfId="0" applyNumberFormat="1" applyFont="1" applyBorder="1"/>
    <xf numFmtId="0" fontId="0" fillId="0" borderId="2" xfId="0" quotePrefix="1" applyBorder="1"/>
    <xf numFmtId="0" fontId="0" fillId="0" borderId="8" xfId="0" applyBorder="1"/>
    <xf numFmtId="4" fontId="5" fillId="0" borderId="0" xfId="0" applyNumberFormat="1" applyFont="1"/>
    <xf numFmtId="164" fontId="6" fillId="0" borderId="0" xfId="2" applyNumberFormat="1" applyFont="1"/>
    <xf numFmtId="0" fontId="0" fillId="0" borderId="4" xfId="0" applyBorder="1"/>
    <xf numFmtId="0" fontId="0" fillId="0" borderId="3" xfId="0" applyBorder="1"/>
    <xf numFmtId="165" fontId="7" fillId="0" borderId="4" xfId="0" applyNumberFormat="1" applyFont="1" applyBorder="1"/>
    <xf numFmtId="0" fontId="0" fillId="0" borderId="0" xfId="0" quotePrefix="1"/>
    <xf numFmtId="165" fontId="6" fillId="0" borderId="0" xfId="0" applyNumberFormat="1" applyFont="1"/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3" fontId="8" fillId="0" borderId="0" xfId="0" applyNumberFormat="1" applyFont="1"/>
    <xf numFmtId="165" fontId="5" fillId="0" borderId="0" xfId="0" applyNumberFormat="1" applyFont="1"/>
    <xf numFmtId="10" fontId="6" fillId="0" borderId="0" xfId="2" applyNumberFormat="1" applyFont="1"/>
    <xf numFmtId="4" fontId="5" fillId="0" borderId="1" xfId="0" applyNumberFormat="1" applyFont="1" applyBorder="1"/>
    <xf numFmtId="0" fontId="4" fillId="0" borderId="0" xfId="0" applyFont="1" applyAlignment="1">
      <alignment horizontal="right"/>
    </xf>
    <xf numFmtId="9" fontId="6" fillId="0" borderId="0" xfId="0" applyNumberFormat="1" applyFont="1"/>
    <xf numFmtId="4" fontId="5" fillId="0" borderId="2" xfId="0" applyNumberFormat="1" applyFont="1" applyBorder="1"/>
    <xf numFmtId="0" fontId="0" fillId="0" borderId="5" xfId="0" applyBorder="1" applyAlignment="1">
      <alignment horizontal="center"/>
    </xf>
    <xf numFmtId="3" fontId="8" fillId="0" borderId="1" xfId="0" applyNumberFormat="1" applyFont="1" applyBorder="1"/>
    <xf numFmtId="164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3" fontId="5" fillId="0" borderId="0" xfId="0" applyNumberFormat="1" applyFont="1"/>
    <xf numFmtId="3" fontId="5" fillId="0" borderId="6" xfId="0" applyNumberFormat="1" applyFont="1" applyBorder="1"/>
    <xf numFmtId="9" fontId="13" fillId="0" borderId="6" xfId="0" applyNumberFormat="1" applyFont="1" applyBorder="1" applyAlignment="1">
      <alignment horizontal="left"/>
    </xf>
    <xf numFmtId="0" fontId="9" fillId="0" borderId="4" xfId="0" applyFont="1" applyBorder="1"/>
    <xf numFmtId="0" fontId="7" fillId="0" borderId="0" xfId="0" quotePrefix="1" applyFont="1"/>
    <xf numFmtId="9" fontId="7" fillId="0" borderId="0" xfId="0" quotePrefix="1" applyNumberFormat="1" applyFont="1"/>
    <xf numFmtId="0" fontId="2" fillId="0" borderId="4" xfId="0" applyFont="1" applyBorder="1"/>
    <xf numFmtId="1" fontId="7" fillId="0" borderId="0" xfId="0" quotePrefix="1" applyNumberFormat="1" applyFont="1"/>
    <xf numFmtId="0" fontId="4" fillId="0" borderId="0" xfId="0" quotePrefix="1" applyFont="1"/>
    <xf numFmtId="165" fontId="0" fillId="0" borderId="0" xfId="0" applyNumberFormat="1"/>
    <xf numFmtId="165" fontId="4" fillId="0" borderId="0" xfId="0" applyNumberFormat="1" applyFont="1"/>
    <xf numFmtId="0" fontId="14" fillId="0" borderId="7" xfId="0" applyFont="1" applyBorder="1"/>
    <xf numFmtId="0" fontId="14" fillId="0" borderId="0" xfId="0" applyFont="1"/>
    <xf numFmtId="0" fontId="16" fillId="0" borderId="9" xfId="0" applyFont="1" applyBorder="1"/>
    <xf numFmtId="0" fontId="16" fillId="0" borderId="10" xfId="0" applyFont="1" applyBorder="1"/>
    <xf numFmtId="0" fontId="14" fillId="0" borderId="11" xfId="0" applyFont="1" applyBorder="1"/>
    <xf numFmtId="0" fontId="17" fillId="0" borderId="0" xfId="0" applyFont="1"/>
    <xf numFmtId="0" fontId="17" fillId="0" borderId="10" xfId="0" applyFont="1" applyBorder="1"/>
    <xf numFmtId="0" fontId="17" fillId="0" borderId="11" xfId="0" applyFont="1" applyBorder="1"/>
    <xf numFmtId="0" fontId="14" fillId="0" borderId="4" xfId="0" applyFont="1" applyBorder="1"/>
    <xf numFmtId="0" fontId="16" fillId="0" borderId="4" xfId="0" applyFont="1" applyBorder="1"/>
    <xf numFmtId="0" fontId="16" fillId="0" borderId="0" xfId="0" applyFont="1"/>
    <xf numFmtId="165" fontId="18" fillId="0" borderId="3" xfId="1" applyNumberFormat="1" applyFont="1" applyBorder="1"/>
    <xf numFmtId="0" fontId="16" fillId="0" borderId="7" xfId="0" applyFont="1" applyBorder="1"/>
    <xf numFmtId="0" fontId="17" fillId="0" borderId="2" xfId="0" applyFont="1" applyBorder="1"/>
    <xf numFmtId="4" fontId="18" fillId="0" borderId="2" xfId="0" applyNumberFormat="1" applyFont="1" applyBorder="1" applyAlignment="1">
      <alignment horizontal="center"/>
    </xf>
    <xf numFmtId="164" fontId="18" fillId="0" borderId="8" xfId="2" quotePrefix="1" applyNumberFormat="1" applyFont="1" applyBorder="1" applyAlignment="1">
      <alignment horizontal="center"/>
    </xf>
    <xf numFmtId="44" fontId="18" fillId="0" borderId="0" xfId="1" quotePrefix="1" applyFont="1" applyBorder="1" applyAlignment="1">
      <alignment horizontal="center"/>
    </xf>
    <xf numFmtId="164" fontId="15" fillId="0" borderId="3" xfId="0" applyNumberFormat="1" applyFont="1" applyBorder="1" applyAlignment="1">
      <alignment horizontal="left"/>
    </xf>
    <xf numFmtId="0" fontId="14" fillId="0" borderId="4" xfId="0" applyFont="1" applyBorder="1" applyAlignment="1">
      <alignment horizontal="left"/>
    </xf>
    <xf numFmtId="164" fontId="18" fillId="0" borderId="0" xfId="2" applyNumberFormat="1" applyFont="1" applyBorder="1" applyAlignment="1">
      <alignment horizontal="center"/>
    </xf>
    <xf numFmtId="164" fontId="14" fillId="0" borderId="3" xfId="2" applyNumberFormat="1" applyFont="1" applyBorder="1" applyAlignment="1">
      <alignment horizontal="left"/>
    </xf>
    <xf numFmtId="9" fontId="15" fillId="0" borderId="3" xfId="0" applyNumberFormat="1" applyFont="1" applyBorder="1" applyAlignment="1">
      <alignment horizontal="left"/>
    </xf>
    <xf numFmtId="10" fontId="15" fillId="0" borderId="3" xfId="2" applyNumberFormat="1" applyFont="1" applyBorder="1"/>
    <xf numFmtId="0" fontId="19" fillId="0" borderId="0" xfId="0" applyFont="1"/>
    <xf numFmtId="0" fontId="14" fillId="0" borderId="0" xfId="0" applyFont="1" applyAlignment="1">
      <alignment horizontal="left"/>
    </xf>
    <xf numFmtId="0" fontId="14" fillId="0" borderId="3" xfId="0" applyFont="1" applyBorder="1"/>
    <xf numFmtId="0" fontId="20" fillId="0" borderId="0" xfId="0" applyFont="1"/>
    <xf numFmtId="38" fontId="18" fillId="0" borderId="0" xfId="2" quotePrefix="1" applyNumberFormat="1" applyFont="1" applyBorder="1" applyAlignment="1">
      <alignment horizontal="center"/>
    </xf>
    <xf numFmtId="3" fontId="14" fillId="0" borderId="0" xfId="0" quotePrefix="1" applyNumberFormat="1" applyFont="1"/>
    <xf numFmtId="1" fontId="15" fillId="0" borderId="3" xfId="0" applyNumberFormat="1" applyFont="1" applyBorder="1" applyAlignment="1">
      <alignment horizontal="left"/>
    </xf>
    <xf numFmtId="164" fontId="15" fillId="0" borderId="3" xfId="2" applyNumberFormat="1" applyFont="1" applyBorder="1"/>
    <xf numFmtId="0" fontId="19" fillId="0" borderId="0" xfId="0" applyFont="1" applyAlignment="1">
      <alignment horizontal="center"/>
    </xf>
    <xf numFmtId="9" fontId="18" fillId="0" borderId="0" xfId="2" applyFont="1" applyFill="1" applyBorder="1" applyAlignment="1">
      <alignment horizontal="center"/>
    </xf>
    <xf numFmtId="3" fontId="14" fillId="0" borderId="0" xfId="0" applyNumberFormat="1" applyFont="1"/>
    <xf numFmtId="0" fontId="14" fillId="0" borderId="0" xfId="0" quotePrefix="1" applyFont="1"/>
    <xf numFmtId="165" fontId="17" fillId="0" borderId="0" xfId="0" applyNumberFormat="1" applyFont="1"/>
    <xf numFmtId="9" fontId="15" fillId="0" borderId="3" xfId="2" applyFont="1" applyBorder="1" applyAlignment="1">
      <alignment horizontal="left"/>
    </xf>
    <xf numFmtId="0" fontId="14" fillId="0" borderId="5" xfId="0" applyFont="1" applyBorder="1"/>
    <xf numFmtId="0" fontId="16" fillId="0" borderId="1" xfId="0" applyFont="1" applyBorder="1"/>
    <xf numFmtId="165" fontId="18" fillId="0" borderId="6" xfId="2" applyNumberFormat="1" applyFont="1" applyBorder="1"/>
    <xf numFmtId="0" fontId="14" fillId="0" borderId="3" xfId="0" applyFont="1" applyBorder="1" applyAlignment="1">
      <alignment horizontal="center"/>
    </xf>
    <xf numFmtId="165" fontId="18" fillId="0" borderId="0" xfId="2" applyNumberFormat="1" applyFont="1" applyBorder="1"/>
    <xf numFmtId="0" fontId="17" fillId="0" borderId="3" xfId="0" applyFont="1" applyBorder="1"/>
    <xf numFmtId="164" fontId="21" fillId="0" borderId="0" xfId="2" quotePrefix="1" applyNumberFormat="1" applyFont="1" applyBorder="1" applyAlignment="1">
      <alignment horizontal="left"/>
    </xf>
    <xf numFmtId="0" fontId="18" fillId="0" borderId="0" xfId="0" applyFont="1" applyAlignment="1">
      <alignment horizontal="center"/>
    </xf>
    <xf numFmtId="9" fontId="18" fillId="0" borderId="0" xfId="0" applyNumberFormat="1" applyFont="1" applyAlignment="1">
      <alignment horizontal="center"/>
    </xf>
    <xf numFmtId="0" fontId="15" fillId="0" borderId="3" xfId="0" applyFont="1" applyBorder="1"/>
    <xf numFmtId="0" fontId="14" fillId="0" borderId="5" xfId="0" applyFont="1" applyBorder="1" applyAlignment="1">
      <alignment horizontal="left"/>
    </xf>
    <xf numFmtId="0" fontId="19" fillId="0" borderId="1" xfId="0" applyFont="1" applyBorder="1"/>
    <xf numFmtId="0" fontId="18" fillId="0" borderId="1" xfId="0" applyFont="1" applyBorder="1" applyAlignment="1">
      <alignment horizontal="center"/>
    </xf>
    <xf numFmtId="0" fontId="14" fillId="0" borderId="1" xfId="0" applyFont="1" applyBorder="1"/>
    <xf numFmtId="0" fontId="14" fillId="0" borderId="6" xfId="0" applyFont="1" applyBorder="1"/>
    <xf numFmtId="38" fontId="17" fillId="0" borderId="0" xfId="0" applyNumberFormat="1" applyFont="1"/>
    <xf numFmtId="3" fontId="15" fillId="0" borderId="2" xfId="0" applyNumberFormat="1" applyFont="1" applyBorder="1"/>
    <xf numFmtId="0" fontId="14" fillId="0" borderId="4" xfId="0" applyFont="1" applyBorder="1" applyAlignment="1">
      <alignment horizontal="center"/>
    </xf>
    <xf numFmtId="3" fontId="15" fillId="0" borderId="0" xfId="0" applyNumberFormat="1" applyFont="1"/>
    <xf numFmtId="3" fontId="15" fillId="0" borderId="3" xfId="0" applyNumberFormat="1" applyFont="1" applyBorder="1"/>
    <xf numFmtId="0" fontId="15" fillId="0" borderId="0" xfId="0" applyFont="1"/>
    <xf numFmtId="0" fontId="23" fillId="0" borderId="4" xfId="0" applyFont="1" applyBorder="1"/>
    <xf numFmtId="3" fontId="18" fillId="0" borderId="3" xfId="0" applyNumberFormat="1" applyFont="1" applyBorder="1"/>
    <xf numFmtId="3" fontId="18" fillId="0" borderId="0" xfId="0" applyNumberFormat="1" applyFont="1"/>
    <xf numFmtId="3" fontId="18" fillId="0" borderId="6" xfId="0" applyNumberFormat="1" applyFont="1" applyBorder="1"/>
    <xf numFmtId="2" fontId="18" fillId="0" borderId="0" xfId="2" quotePrefix="1" applyNumberFormat="1" applyFont="1" applyBorder="1" applyAlignment="1">
      <alignment horizontal="center"/>
    </xf>
    <xf numFmtId="165" fontId="24" fillId="0" borderId="7" xfId="0" applyNumberFormat="1" applyFont="1" applyBorder="1"/>
    <xf numFmtId="0" fontId="17" fillId="0" borderId="2" xfId="0" quotePrefix="1" applyFont="1" applyBorder="1"/>
    <xf numFmtId="0" fontId="17" fillId="0" borderId="8" xfId="0" applyFont="1" applyBorder="1"/>
    <xf numFmtId="4" fontId="18" fillId="0" borderId="0" xfId="0" applyNumberFormat="1" applyFont="1"/>
    <xf numFmtId="164" fontId="15" fillId="0" borderId="0" xfId="2" applyNumberFormat="1" applyFont="1"/>
    <xf numFmtId="165" fontId="14" fillId="0" borderId="0" xfId="0" applyNumberFormat="1" applyFont="1"/>
    <xf numFmtId="3" fontId="15" fillId="0" borderId="8" xfId="0" applyNumberFormat="1" applyFont="1" applyBorder="1"/>
    <xf numFmtId="0" fontId="17" fillId="0" borderId="4" xfId="0" applyFont="1" applyBorder="1"/>
    <xf numFmtId="165" fontId="25" fillId="0" borderId="4" xfId="0" applyNumberFormat="1" applyFont="1" applyBorder="1"/>
    <xf numFmtId="0" fontId="17" fillId="0" borderId="0" xfId="0" quotePrefix="1" applyFont="1"/>
    <xf numFmtId="1" fontId="17" fillId="0" borderId="0" xfId="0" applyNumberFormat="1" applyFont="1"/>
    <xf numFmtId="165" fontId="15" fillId="0" borderId="0" xfId="0" applyNumberFormat="1" applyFont="1"/>
    <xf numFmtId="0" fontId="17" fillId="0" borderId="4" xfId="0" applyFont="1" applyBorder="1" applyAlignment="1">
      <alignment horizontal="center"/>
    </xf>
    <xf numFmtId="0" fontId="17" fillId="0" borderId="0" xfId="0" applyFont="1" applyAlignment="1">
      <alignment horizontal="center"/>
    </xf>
    <xf numFmtId="3" fontId="17" fillId="0" borderId="0" xfId="0" applyNumberFormat="1" applyFont="1"/>
    <xf numFmtId="10" fontId="15" fillId="0" borderId="0" xfId="0" applyNumberFormat="1" applyFont="1"/>
    <xf numFmtId="165" fontId="18" fillId="0" borderId="0" xfId="0" applyNumberFormat="1" applyFont="1"/>
    <xf numFmtId="10" fontId="15" fillId="0" borderId="0" xfId="2" applyNumberFormat="1" applyFont="1"/>
    <xf numFmtId="4" fontId="18" fillId="0" borderId="1" xfId="0" applyNumberFormat="1" applyFont="1" applyBorder="1"/>
    <xf numFmtId="0" fontId="14" fillId="0" borderId="0" xfId="0" applyFont="1" applyAlignment="1">
      <alignment horizontal="right"/>
    </xf>
    <xf numFmtId="9" fontId="15" fillId="0" borderId="0" xfId="0" applyNumberFormat="1" applyFont="1"/>
    <xf numFmtId="4" fontId="18" fillId="0" borderId="2" xfId="0" applyNumberFormat="1" applyFont="1" applyBorder="1"/>
    <xf numFmtId="0" fontId="26" fillId="0" borderId="1" xfId="0" applyFont="1" applyBorder="1"/>
    <xf numFmtId="0" fontId="17" fillId="0" borderId="1" xfId="0" applyFont="1" applyBorder="1"/>
    <xf numFmtId="165" fontId="17" fillId="0" borderId="12" xfId="0" applyNumberFormat="1" applyFont="1" applyBorder="1"/>
    <xf numFmtId="165" fontId="17" fillId="0" borderId="14" xfId="0" applyNumberFormat="1" applyFont="1" applyBorder="1"/>
    <xf numFmtId="0" fontId="26" fillId="0" borderId="0" xfId="0" applyFont="1"/>
    <xf numFmtId="0" fontId="17" fillId="0" borderId="14" xfId="0" applyFont="1" applyBorder="1"/>
    <xf numFmtId="0" fontId="17" fillId="0" borderId="13" xfId="0" applyFont="1" applyBorder="1"/>
    <xf numFmtId="0" fontId="17" fillId="0" borderId="5" xfId="0" applyFont="1" applyBorder="1" applyAlignment="1">
      <alignment horizontal="center"/>
    </xf>
    <xf numFmtId="0" fontId="17" fillId="0" borderId="6" xfId="0" applyFont="1" applyBorder="1"/>
    <xf numFmtId="164" fontId="15" fillId="0" borderId="3" xfId="2" applyNumberFormat="1" applyFont="1" applyBorder="1" applyAlignment="1">
      <alignment horizontal="left"/>
    </xf>
    <xf numFmtId="164" fontId="22" fillId="0" borderId="6" xfId="0" applyNumberFormat="1" applyFont="1" applyBorder="1" applyAlignment="1">
      <alignment horizontal="left"/>
    </xf>
    <xf numFmtId="0" fontId="13" fillId="0" borderId="3" xfId="0" applyFont="1" applyBorder="1"/>
    <xf numFmtId="3" fontId="13" fillId="0" borderId="3" xfId="0" applyNumberFormat="1" applyFont="1" applyBorder="1"/>
    <xf numFmtId="3" fontId="13" fillId="0" borderId="6" xfId="0" applyNumberFormat="1" applyFont="1" applyBorder="1"/>
    <xf numFmtId="3" fontId="27" fillId="0" borderId="0" xfId="0" applyNumberFormat="1" applyFont="1"/>
    <xf numFmtId="3" fontId="27" fillId="0" borderId="1" xfId="0" applyNumberFormat="1" applyFont="1" applyBorder="1"/>
    <xf numFmtId="0" fontId="14" fillId="0" borderId="9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26" fillId="0" borderId="0" xfId="0" applyFont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" fontId="5" fillId="0" borderId="0" xfId="0" quotePrefix="1" applyNumberFormat="1" applyFont="1"/>
    <xf numFmtId="9" fontId="18" fillId="0" borderId="0" xfId="0" quotePrefix="1" applyNumberFormat="1" applyFont="1" applyFill="1" applyAlignment="1">
      <alignment horizontal="center"/>
    </xf>
    <xf numFmtId="6" fontId="5" fillId="0" borderId="0" xfId="0" applyNumberFormat="1" applyFont="1" applyFill="1" applyAlignment="1">
      <alignment horizontal="center"/>
    </xf>
    <xf numFmtId="0" fontId="3" fillId="0" borderId="9" xfId="0" applyFont="1" applyFill="1" applyBorder="1"/>
    <xf numFmtId="0" fontId="16" fillId="0" borderId="10" xfId="0" applyFont="1" applyFill="1" applyBorder="1"/>
    <xf numFmtId="0" fontId="14" fillId="0" borderId="11" xfId="0" applyFont="1" applyFill="1" applyBorder="1"/>
    <xf numFmtId="0" fontId="16" fillId="0" borderId="4" xfId="0" applyFont="1" applyFill="1" applyBorder="1"/>
    <xf numFmtId="0" fontId="16" fillId="0" borderId="0" xfId="0" applyFont="1" applyFill="1"/>
    <xf numFmtId="165" fontId="13" fillId="0" borderId="3" xfId="1" applyNumberFormat="1" applyFont="1" applyFill="1" applyBorder="1"/>
    <xf numFmtId="0" fontId="13" fillId="0" borderId="3" xfId="0" applyFont="1" applyFill="1" applyBorder="1"/>
    <xf numFmtId="0" fontId="14" fillId="0" borderId="4" xfId="0" applyFont="1" applyFill="1" applyBorder="1"/>
    <xf numFmtId="10" fontId="15" fillId="0" borderId="3" xfId="2" applyNumberFormat="1" applyFont="1" applyFill="1" applyBorder="1"/>
    <xf numFmtId="164" fontId="15" fillId="0" borderId="3" xfId="2" applyNumberFormat="1" applyFont="1" applyFill="1" applyBorder="1"/>
    <xf numFmtId="0" fontId="14" fillId="0" borderId="5" xfId="0" applyFont="1" applyFill="1" applyBorder="1"/>
    <xf numFmtId="0" fontId="16" fillId="0" borderId="1" xfId="0" applyFont="1" applyFill="1" applyBorder="1"/>
    <xf numFmtId="165" fontId="13" fillId="0" borderId="6" xfId="2" applyNumberFormat="1" applyFont="1" applyFill="1" applyBorder="1"/>
    <xf numFmtId="0" fontId="4" fillId="0" borderId="0" xfId="0" applyFont="1" applyFill="1"/>
    <xf numFmtId="4" fontId="5" fillId="0" borderId="0" xfId="0" quotePrefix="1" applyNumberFormat="1" applyFon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6"/>
          <c:order val="0"/>
          <c:tx>
            <c:strRef>
              <c:f>'Property 1'!$AG$5</c:f>
              <c:strCache>
                <c:ptCount val="1"/>
                <c:pt idx="0">
                  <c:v>$1,150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1'!$AG$6:$AG$15</c:f>
              <c:numCache>
                <c:formatCode>General</c:formatCode>
                <c:ptCount val="10"/>
                <c:pt idx="0">
                  <c:v>538</c:v>
                </c:pt>
                <c:pt idx="1">
                  <c:v>505</c:v>
                </c:pt>
                <c:pt idx="2">
                  <c:v>471</c:v>
                </c:pt>
                <c:pt idx="3">
                  <c:v>437</c:v>
                </c:pt>
                <c:pt idx="4">
                  <c:v>403</c:v>
                </c:pt>
                <c:pt idx="5">
                  <c:v>370</c:v>
                </c:pt>
                <c:pt idx="6">
                  <c:v>336</c:v>
                </c:pt>
                <c:pt idx="7">
                  <c:v>302</c:v>
                </c:pt>
                <c:pt idx="8">
                  <c:v>268</c:v>
                </c:pt>
                <c:pt idx="9">
                  <c:v>235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CD-4EC1-B93F-18534D0180CE}"/>
            </c:ext>
          </c:extLst>
        </c:ser>
        <c:ser>
          <c:idx val="5"/>
          <c:order val="1"/>
          <c:tx>
            <c:strRef>
              <c:f>'Property 1'!$AF$5</c:f>
              <c:strCache>
                <c:ptCount val="1"/>
                <c:pt idx="0">
                  <c:v>$1,050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1'!$AF$6:$AF$15</c:f>
              <c:numCache>
                <c:formatCode>General</c:formatCode>
                <c:ptCount val="10"/>
                <c:pt idx="0">
                  <c:v>213</c:v>
                </c:pt>
                <c:pt idx="1">
                  <c:v>179</c:v>
                </c:pt>
                <c:pt idx="2">
                  <c:v>145</c:v>
                </c:pt>
                <c:pt idx="3">
                  <c:v>112</c:v>
                </c:pt>
                <c:pt idx="4">
                  <c:v>78</c:v>
                </c:pt>
                <c:pt idx="5">
                  <c:v>44</c:v>
                </c:pt>
                <c:pt idx="6">
                  <c:v>10</c:v>
                </c:pt>
                <c:pt idx="7">
                  <c:v>-23</c:v>
                </c:pt>
                <c:pt idx="8">
                  <c:v>-57</c:v>
                </c:pt>
                <c:pt idx="9">
                  <c:v>-91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CCD-4EC1-B93F-18534D0180CE}"/>
            </c:ext>
          </c:extLst>
        </c:ser>
        <c:ser>
          <c:idx val="4"/>
          <c:order val="2"/>
          <c:tx>
            <c:strRef>
              <c:f>'Property 1'!$AE$5</c:f>
              <c:strCache>
                <c:ptCount val="1"/>
                <c:pt idx="0">
                  <c:v>$950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1'!$AE$6:$AE$15</c:f>
              <c:numCache>
                <c:formatCode>General</c:formatCode>
                <c:ptCount val="10"/>
                <c:pt idx="0">
                  <c:v>-113</c:v>
                </c:pt>
                <c:pt idx="1">
                  <c:v>-146</c:v>
                </c:pt>
                <c:pt idx="2">
                  <c:v>-180</c:v>
                </c:pt>
                <c:pt idx="3">
                  <c:v>-214</c:v>
                </c:pt>
                <c:pt idx="4">
                  <c:v>-247</c:v>
                </c:pt>
                <c:pt idx="5">
                  <c:v>-281</c:v>
                </c:pt>
                <c:pt idx="6">
                  <c:v>-315</c:v>
                </c:pt>
                <c:pt idx="7">
                  <c:v>-349</c:v>
                </c:pt>
                <c:pt idx="8">
                  <c:v>-382</c:v>
                </c:pt>
                <c:pt idx="9">
                  <c:v>-416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CCD-4EC1-B93F-18534D0180CE}"/>
            </c:ext>
          </c:extLst>
        </c:ser>
        <c:ser>
          <c:idx val="3"/>
          <c:order val="3"/>
          <c:tx>
            <c:strRef>
              <c:f>'Property 1'!$AD$5</c:f>
              <c:strCache>
                <c:ptCount val="1"/>
                <c:pt idx="0">
                  <c:v>$850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1'!$AD$6:$AD$15</c:f>
              <c:numCache>
                <c:formatCode>General</c:formatCode>
                <c:ptCount val="10"/>
                <c:pt idx="0">
                  <c:v>-438</c:v>
                </c:pt>
                <c:pt idx="1">
                  <c:v>-472</c:v>
                </c:pt>
                <c:pt idx="2">
                  <c:v>-505</c:v>
                </c:pt>
                <c:pt idx="3">
                  <c:v>-539</c:v>
                </c:pt>
                <c:pt idx="4">
                  <c:v>-573</c:v>
                </c:pt>
                <c:pt idx="5">
                  <c:v>-607</c:v>
                </c:pt>
                <c:pt idx="6">
                  <c:v>-640</c:v>
                </c:pt>
                <c:pt idx="7">
                  <c:v>-674</c:v>
                </c:pt>
                <c:pt idx="8">
                  <c:v>-708</c:v>
                </c:pt>
                <c:pt idx="9">
                  <c:v>-742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CCD-4EC1-B93F-18534D0180CE}"/>
            </c:ext>
          </c:extLst>
        </c:ser>
        <c:ser>
          <c:idx val="2"/>
          <c:order val="4"/>
          <c:tx>
            <c:strRef>
              <c:f>'Property 1'!$AC$5</c:f>
              <c:strCache>
                <c:ptCount val="1"/>
                <c:pt idx="0">
                  <c:v>$750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1'!$AC$6:$AC$15</c:f>
              <c:numCache>
                <c:formatCode>General</c:formatCode>
                <c:ptCount val="10"/>
                <c:pt idx="0">
                  <c:v>-778</c:v>
                </c:pt>
                <c:pt idx="1">
                  <c:v>-812</c:v>
                </c:pt>
                <c:pt idx="2">
                  <c:v>-846</c:v>
                </c:pt>
                <c:pt idx="3">
                  <c:v>-880</c:v>
                </c:pt>
                <c:pt idx="4">
                  <c:v>-913</c:v>
                </c:pt>
                <c:pt idx="5">
                  <c:v>-947</c:v>
                </c:pt>
                <c:pt idx="6">
                  <c:v>-981</c:v>
                </c:pt>
                <c:pt idx="7">
                  <c:v>-1014</c:v>
                </c:pt>
                <c:pt idx="8">
                  <c:v>-1048</c:v>
                </c:pt>
                <c:pt idx="9">
                  <c:v>-1082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CCD-4EC1-B93F-18534D0180CE}"/>
            </c:ext>
          </c:extLst>
        </c:ser>
        <c:ser>
          <c:idx val="1"/>
          <c:order val="5"/>
          <c:tx>
            <c:strRef>
              <c:f>'Property 1'!$AB$5</c:f>
              <c:strCache>
                <c:ptCount val="1"/>
                <c:pt idx="0">
                  <c:v>$650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1'!$AB$6:$AB$15</c:f>
              <c:numCache>
                <c:formatCode>General</c:formatCode>
                <c:ptCount val="10"/>
                <c:pt idx="0">
                  <c:v>-1142</c:v>
                </c:pt>
                <c:pt idx="1">
                  <c:v>-1175</c:v>
                </c:pt>
                <c:pt idx="2">
                  <c:v>-1209</c:v>
                </c:pt>
                <c:pt idx="3">
                  <c:v>-1243</c:v>
                </c:pt>
                <c:pt idx="4">
                  <c:v>-1277</c:v>
                </c:pt>
                <c:pt idx="5">
                  <c:v>-1310</c:v>
                </c:pt>
                <c:pt idx="6">
                  <c:v>-1344</c:v>
                </c:pt>
                <c:pt idx="7">
                  <c:v>-1378</c:v>
                </c:pt>
                <c:pt idx="8">
                  <c:v>-1412</c:v>
                </c:pt>
                <c:pt idx="9">
                  <c:v>-1445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CCD-4EC1-B93F-18534D0180CE}"/>
            </c:ext>
          </c:extLst>
        </c:ser>
        <c:ser>
          <c:idx val="0"/>
          <c:order val="6"/>
          <c:tx>
            <c:strRef>
              <c:f>'Property 1'!$AA$5</c:f>
              <c:strCache>
                <c:ptCount val="1"/>
                <c:pt idx="0">
                  <c:v>$550</c:v>
                </c:pt>
              </c:strCache>
            </c:strRef>
          </c:tx>
          <c:marker>
            <c:symbol val="none"/>
          </c:marker>
          <c:cat>
            <c:numRef>
              <c:f>'Property 1'!$Z$6:$Z$15</c:f>
              <c:numCache>
                <c:formatCode>General</c:formatCode>
                <c:ptCount val="10"/>
                <c:pt idx="0">
                  <c:v>504</c:v>
                </c:pt>
                <c:pt idx="1">
                  <c:v>514</c:v>
                </c:pt>
                <c:pt idx="2">
                  <c:v>524</c:v>
                </c:pt>
                <c:pt idx="3">
                  <c:v>534</c:v>
                </c:pt>
                <c:pt idx="4">
                  <c:v>544</c:v>
                </c:pt>
                <c:pt idx="5">
                  <c:v>554</c:v>
                </c:pt>
                <c:pt idx="6">
                  <c:v>564</c:v>
                </c:pt>
                <c:pt idx="7">
                  <c:v>574</c:v>
                </c:pt>
                <c:pt idx="8">
                  <c:v>584</c:v>
                </c:pt>
                <c:pt idx="9">
                  <c:v>594</c:v>
                </c:pt>
              </c:numCache>
            </c:numRef>
          </c:cat>
          <c:val>
            <c:numRef>
              <c:f>'Property 1'!$AA$6:$AA$15</c:f>
              <c:numCache>
                <c:formatCode>General</c:formatCode>
                <c:ptCount val="10"/>
                <c:pt idx="0">
                  <c:v>-1505</c:v>
                </c:pt>
                <c:pt idx="1">
                  <c:v>-1539</c:v>
                </c:pt>
                <c:pt idx="2">
                  <c:v>-1573</c:v>
                </c:pt>
                <c:pt idx="3">
                  <c:v>-1606</c:v>
                </c:pt>
                <c:pt idx="4">
                  <c:v>-1640</c:v>
                </c:pt>
                <c:pt idx="5">
                  <c:v>-1674</c:v>
                </c:pt>
                <c:pt idx="6">
                  <c:v>-1708</c:v>
                </c:pt>
                <c:pt idx="7">
                  <c:v>-1741</c:v>
                </c:pt>
                <c:pt idx="8">
                  <c:v>-1775</c:v>
                </c:pt>
                <c:pt idx="9">
                  <c:v>-1809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CCD-4EC1-B93F-18534D0180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356800"/>
        <c:axId val="115358720"/>
      </c:lineChart>
      <c:catAx>
        <c:axId val="115356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Total Purchase Price ($000)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115358720"/>
        <c:crosses val="autoZero"/>
        <c:auto val="1"/>
        <c:lblAlgn val="ctr"/>
        <c:lblOffset val="100"/>
        <c:noMultiLvlLbl val="0"/>
      </c:catAx>
      <c:valAx>
        <c:axId val="1153587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Net</a:t>
                </a:r>
                <a:r>
                  <a:rPr lang="en-US" baseline="0"/>
                  <a:t> Monthly Cash Flow</a:t>
                </a:r>
                <a:endParaRPr lang="en-US"/>
              </a:p>
            </c:rich>
          </c:tx>
          <c:overlay val="0"/>
        </c:title>
        <c:numFmt formatCode="&quot;$&quot;#,##0_);[Red]\(&quot;$&quot;#,##0\)" sourceLinked="0"/>
        <c:majorTickMark val="out"/>
        <c:minorTickMark val="none"/>
        <c:tickLblPos val="nextTo"/>
        <c:crossAx val="1153568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6"/>
          <c:order val="0"/>
          <c:tx>
            <c:strRef>
              <c:f>'Property 4'!$AG$5</c:f>
              <c:strCache>
                <c:ptCount val="1"/>
                <c:pt idx="0">
                  <c:v>$938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4'!$AG$6:$AG$15</c:f>
              <c:numCache>
                <c:formatCode>General</c:formatCode>
                <c:ptCount val="10"/>
                <c:pt idx="0">
                  <c:v>1298</c:v>
                </c:pt>
                <c:pt idx="1">
                  <c:v>1235</c:v>
                </c:pt>
                <c:pt idx="2">
                  <c:v>1171</c:v>
                </c:pt>
                <c:pt idx="3">
                  <c:v>1108</c:v>
                </c:pt>
                <c:pt idx="4">
                  <c:v>1045</c:v>
                </c:pt>
                <c:pt idx="5">
                  <c:v>982</c:v>
                </c:pt>
                <c:pt idx="6">
                  <c:v>918</c:v>
                </c:pt>
                <c:pt idx="7">
                  <c:v>855</c:v>
                </c:pt>
                <c:pt idx="8">
                  <c:v>792</c:v>
                </c:pt>
                <c:pt idx="9">
                  <c:v>729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F3-41BC-BD3F-50C88E6B5290}"/>
            </c:ext>
          </c:extLst>
        </c:ser>
        <c:ser>
          <c:idx val="5"/>
          <c:order val="1"/>
          <c:tx>
            <c:strRef>
              <c:f>'Property 4'!$AF$5</c:f>
              <c:strCache>
                <c:ptCount val="1"/>
                <c:pt idx="0">
                  <c:v>$838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4'!$AF$6:$AF$15</c:f>
              <c:numCache>
                <c:formatCode>General</c:formatCode>
                <c:ptCount val="10"/>
                <c:pt idx="0">
                  <c:v>983</c:v>
                </c:pt>
                <c:pt idx="1">
                  <c:v>920</c:v>
                </c:pt>
                <c:pt idx="2">
                  <c:v>857</c:v>
                </c:pt>
                <c:pt idx="3">
                  <c:v>794</c:v>
                </c:pt>
                <c:pt idx="4">
                  <c:v>730</c:v>
                </c:pt>
                <c:pt idx="5">
                  <c:v>667</c:v>
                </c:pt>
                <c:pt idx="6">
                  <c:v>604</c:v>
                </c:pt>
                <c:pt idx="7">
                  <c:v>541</c:v>
                </c:pt>
                <c:pt idx="8">
                  <c:v>477</c:v>
                </c:pt>
                <c:pt idx="9">
                  <c:v>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F3-41BC-BD3F-50C88E6B5290}"/>
            </c:ext>
          </c:extLst>
        </c:ser>
        <c:ser>
          <c:idx val="4"/>
          <c:order val="2"/>
          <c:tx>
            <c:strRef>
              <c:f>'Property 4'!$AE$5</c:f>
              <c:strCache>
                <c:ptCount val="1"/>
                <c:pt idx="0">
                  <c:v>$738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4'!$AE$6:$AE$15</c:f>
              <c:numCache>
                <c:formatCode>General</c:formatCode>
                <c:ptCount val="10"/>
                <c:pt idx="0">
                  <c:v>640</c:v>
                </c:pt>
                <c:pt idx="1">
                  <c:v>577</c:v>
                </c:pt>
                <c:pt idx="2">
                  <c:v>514</c:v>
                </c:pt>
                <c:pt idx="3">
                  <c:v>450</c:v>
                </c:pt>
                <c:pt idx="4">
                  <c:v>387</c:v>
                </c:pt>
                <c:pt idx="5">
                  <c:v>324</c:v>
                </c:pt>
                <c:pt idx="6">
                  <c:v>261</c:v>
                </c:pt>
                <c:pt idx="7">
                  <c:v>197</c:v>
                </c:pt>
                <c:pt idx="8">
                  <c:v>134</c:v>
                </c:pt>
                <c:pt idx="9">
                  <c:v>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7F3-41BC-BD3F-50C88E6B5290}"/>
            </c:ext>
          </c:extLst>
        </c:ser>
        <c:ser>
          <c:idx val="3"/>
          <c:order val="3"/>
          <c:tx>
            <c:strRef>
              <c:f>'Property 4'!$AD$5</c:f>
              <c:strCache>
                <c:ptCount val="1"/>
                <c:pt idx="0">
                  <c:v>$638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4'!$AD$6:$AD$15</c:f>
              <c:numCache>
                <c:formatCode>General</c:formatCode>
                <c:ptCount val="10"/>
                <c:pt idx="0">
                  <c:v>289</c:v>
                </c:pt>
                <c:pt idx="1">
                  <c:v>226</c:v>
                </c:pt>
                <c:pt idx="2">
                  <c:v>162</c:v>
                </c:pt>
                <c:pt idx="3">
                  <c:v>99</c:v>
                </c:pt>
                <c:pt idx="4">
                  <c:v>36</c:v>
                </c:pt>
                <c:pt idx="5">
                  <c:v>-27</c:v>
                </c:pt>
                <c:pt idx="6">
                  <c:v>-91</c:v>
                </c:pt>
                <c:pt idx="7">
                  <c:v>-154</c:v>
                </c:pt>
                <c:pt idx="8">
                  <c:v>-217</c:v>
                </c:pt>
                <c:pt idx="9">
                  <c:v>-280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7F3-41BC-BD3F-50C88E6B5290}"/>
            </c:ext>
          </c:extLst>
        </c:ser>
        <c:ser>
          <c:idx val="2"/>
          <c:order val="4"/>
          <c:tx>
            <c:strRef>
              <c:f>'Property 4'!$AC$5</c:f>
              <c:strCache>
                <c:ptCount val="1"/>
                <c:pt idx="0">
                  <c:v>$538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4'!$AC$6:$AC$15</c:f>
              <c:numCache>
                <c:formatCode>General</c:formatCode>
                <c:ptCount val="10"/>
                <c:pt idx="0">
                  <c:v>-62</c:v>
                </c:pt>
                <c:pt idx="1">
                  <c:v>-126</c:v>
                </c:pt>
                <c:pt idx="2">
                  <c:v>-189</c:v>
                </c:pt>
                <c:pt idx="3">
                  <c:v>-252</c:v>
                </c:pt>
                <c:pt idx="4">
                  <c:v>-315</c:v>
                </c:pt>
                <c:pt idx="5">
                  <c:v>-379</c:v>
                </c:pt>
                <c:pt idx="6">
                  <c:v>-442</c:v>
                </c:pt>
                <c:pt idx="7">
                  <c:v>-505</c:v>
                </c:pt>
                <c:pt idx="8">
                  <c:v>-569</c:v>
                </c:pt>
                <c:pt idx="9">
                  <c:v>-632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7F3-41BC-BD3F-50C88E6B5290}"/>
            </c:ext>
          </c:extLst>
        </c:ser>
        <c:ser>
          <c:idx val="1"/>
          <c:order val="5"/>
          <c:tx>
            <c:strRef>
              <c:f>'Property 4'!$AB$5</c:f>
              <c:strCache>
                <c:ptCount val="1"/>
                <c:pt idx="0">
                  <c:v>$438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4'!$AB$6:$AB$15</c:f>
              <c:numCache>
                <c:formatCode>General</c:formatCode>
                <c:ptCount val="10"/>
                <c:pt idx="0">
                  <c:v>-414</c:v>
                </c:pt>
                <c:pt idx="1">
                  <c:v>-477</c:v>
                </c:pt>
                <c:pt idx="2">
                  <c:v>-540</c:v>
                </c:pt>
                <c:pt idx="3">
                  <c:v>-604</c:v>
                </c:pt>
                <c:pt idx="4">
                  <c:v>-667</c:v>
                </c:pt>
                <c:pt idx="5">
                  <c:v>-730</c:v>
                </c:pt>
                <c:pt idx="6">
                  <c:v>-793</c:v>
                </c:pt>
                <c:pt idx="7">
                  <c:v>-857</c:v>
                </c:pt>
                <c:pt idx="8">
                  <c:v>-920</c:v>
                </c:pt>
                <c:pt idx="9">
                  <c:v>-983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7F3-41BC-BD3F-50C88E6B5290}"/>
            </c:ext>
          </c:extLst>
        </c:ser>
        <c:ser>
          <c:idx val="0"/>
          <c:order val="6"/>
          <c:tx>
            <c:strRef>
              <c:f>'Property 4'!$AA$5</c:f>
              <c:strCache>
                <c:ptCount val="1"/>
                <c:pt idx="0">
                  <c:v>$338</c:v>
                </c:pt>
              </c:strCache>
            </c:strRef>
          </c:tx>
          <c:marker>
            <c:symbol val="none"/>
          </c:marker>
          <c:cat>
            <c:numRef>
              <c:f>'Property 4'!$Z$6:$Z$15</c:f>
              <c:numCache>
                <c:formatCode>General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116</c:v>
                </c:pt>
                <c:pt idx="3">
                  <c:v>126</c:v>
                </c:pt>
                <c:pt idx="4">
                  <c:v>136</c:v>
                </c:pt>
                <c:pt idx="5">
                  <c:v>146</c:v>
                </c:pt>
                <c:pt idx="6">
                  <c:v>156</c:v>
                </c:pt>
                <c:pt idx="7">
                  <c:v>166</c:v>
                </c:pt>
                <c:pt idx="8">
                  <c:v>176</c:v>
                </c:pt>
                <c:pt idx="9">
                  <c:v>186</c:v>
                </c:pt>
              </c:numCache>
            </c:numRef>
          </c:cat>
          <c:val>
            <c:numRef>
              <c:f>'Property 4'!$AA$6:$AA$15</c:f>
              <c:numCache>
                <c:formatCode>General</c:formatCode>
                <c:ptCount val="10"/>
                <c:pt idx="0">
                  <c:v>-765</c:v>
                </c:pt>
                <c:pt idx="1">
                  <c:v>-828</c:v>
                </c:pt>
                <c:pt idx="2">
                  <c:v>-892</c:v>
                </c:pt>
                <c:pt idx="3">
                  <c:v>-955</c:v>
                </c:pt>
                <c:pt idx="4">
                  <c:v>-1018</c:v>
                </c:pt>
                <c:pt idx="5">
                  <c:v>-1081</c:v>
                </c:pt>
                <c:pt idx="6">
                  <c:v>-1145</c:v>
                </c:pt>
                <c:pt idx="7">
                  <c:v>-1208</c:v>
                </c:pt>
                <c:pt idx="8">
                  <c:v>-1271</c:v>
                </c:pt>
                <c:pt idx="9">
                  <c:v>-1334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7F3-41BC-BD3F-50C88E6B5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841472"/>
        <c:axId val="116667520"/>
      </c:lineChart>
      <c:catAx>
        <c:axId val="116841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Total Purchase Price ($000)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116667520"/>
        <c:crosses val="autoZero"/>
        <c:auto val="1"/>
        <c:lblAlgn val="ctr"/>
        <c:lblOffset val="100"/>
        <c:noMultiLvlLbl val="0"/>
      </c:catAx>
      <c:valAx>
        <c:axId val="1166675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Net Monthly Cash Flow</a:t>
                </a:r>
              </a:p>
            </c:rich>
          </c:tx>
          <c:overlay val="0"/>
        </c:title>
        <c:numFmt formatCode="&quot;$&quot;#,##0" sourceLinked="0"/>
        <c:majorTickMark val="out"/>
        <c:minorTickMark val="out"/>
        <c:tickLblPos val="nextTo"/>
        <c:crossAx val="116841472"/>
        <c:crosses val="autoZero"/>
        <c:crossBetween val="midCat"/>
        <c:majorUnit val="500"/>
        <c:minorUnit val="100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11" l="0.70000000000000062" r="0.70000000000000062" t="0.75000000000000111" header="0.30000000000000032" footer="0.30000000000000032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414336</xdr:colOff>
      <xdr:row>19</xdr:row>
      <xdr:rowOff>33337</xdr:rowOff>
    </xdr:from>
    <xdr:to>
      <xdr:col>28</xdr:col>
      <xdr:colOff>452436</xdr:colOff>
      <xdr:row>34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0.81563</cdr:x>
      <cdr:y>0.10938</cdr:y>
    </cdr:from>
    <cdr:to>
      <cdr:x>1</cdr:x>
      <cdr:y>0.18576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DA0FFCA6-632B-4B98-8291-19CEE957CFCC}"/>
            </a:ext>
          </a:extLst>
        </cdr:cNvPr>
        <cdr:cNvSpPr txBox="1"/>
      </cdr:nvSpPr>
      <cdr:spPr>
        <a:xfrm xmlns:a="http://schemas.openxmlformats.org/drawingml/2006/main">
          <a:off x="3729039" y="300038"/>
          <a:ext cx="842961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Avg. Rent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419097</xdr:colOff>
      <xdr:row>18</xdr:row>
      <xdr:rowOff>128585</xdr:rowOff>
    </xdr:from>
    <xdr:to>
      <xdr:col>24</xdr:col>
      <xdr:colOff>185737</xdr:colOff>
      <xdr:row>36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0.82241</cdr:x>
      <cdr:y>0.16667</cdr:y>
    </cdr:from>
    <cdr:to>
      <cdr:x>0.99715</cdr:x>
      <cdr:y>0.23788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3495902-5BFD-4BB2-A9ED-B281A2F8C2D4}"/>
            </a:ext>
          </a:extLst>
        </cdr:cNvPr>
        <cdr:cNvSpPr txBox="1"/>
      </cdr:nvSpPr>
      <cdr:spPr>
        <a:xfrm xmlns:a="http://schemas.openxmlformats.org/drawingml/2006/main">
          <a:off x="4124316" y="523877"/>
          <a:ext cx="876306" cy="22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Avg. Rent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ristow\c\My%20Documents\reia11l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lcome"/>
      <sheetName val="General"/>
      <sheetName val="Rent Roll"/>
      <sheetName val="Annual Property Operating Data"/>
      <sheetName val="Cashflow and Resale Analysis"/>
      <sheetName val="Real Estate Business Plan"/>
      <sheetName val="CashGraph"/>
      <sheetName val="User Work Area"/>
      <sheetName val="MenuSheet"/>
      <sheetName val="Interim"/>
    </sheetNames>
    <sheetDataSet>
      <sheetData sheetId="0" refreshError="1"/>
      <sheetData sheetId="1">
        <row r="17">
          <cell r="B17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3"/>
  <sheetViews>
    <sheetView zoomScale="130" zoomScaleNormal="130" workbookViewId="0">
      <selection activeCell="B2" sqref="B2"/>
    </sheetView>
  </sheetViews>
  <sheetFormatPr defaultRowHeight="13.2" x14ac:dyDescent="0.25"/>
  <cols>
    <col min="1" max="1" width="31.33203125" customWidth="1"/>
    <col min="2" max="12" width="10.6640625" customWidth="1"/>
  </cols>
  <sheetData>
    <row r="1" spans="1:13" ht="14.4" x14ac:dyDescent="0.3">
      <c r="A1" t="s">
        <v>14</v>
      </c>
      <c r="B1" s="13">
        <v>1</v>
      </c>
      <c r="F1" s="107"/>
      <c r="G1" s="106"/>
    </row>
    <row r="2" spans="1:13" ht="14.4" x14ac:dyDescent="0.3">
      <c r="A2" t="s">
        <v>15</v>
      </c>
      <c r="B2" s="112" t="str">
        <f>HLOOKUP(B$1,$C$64:$L$92,2)</f>
        <v>195 Belmont St</v>
      </c>
      <c r="H2" s="15"/>
    </row>
    <row r="3" spans="1:13" ht="14.4" x14ac:dyDescent="0.3">
      <c r="A3" s="1" t="s">
        <v>96</v>
      </c>
      <c r="B3" s="16">
        <f>HLOOKUP(B$1,$C$64:$L$92,3)+HLOOKUP(B$1,$C$64:$L$92,4)</f>
        <v>630000</v>
      </c>
    </row>
    <row r="4" spans="1:13" ht="14.4" x14ac:dyDescent="0.3">
      <c r="A4" t="str">
        <f>"Assumed Sales Price (end of year "&amp;TEXT(B8,"0")&amp;")"</f>
        <v>Assumed Sales Price (end of year 10)</v>
      </c>
      <c r="B4" s="16">
        <f>B3*(1+B5)^B8</f>
        <v>767966.48459669703</v>
      </c>
    </row>
    <row r="5" spans="1:13" ht="14.4" x14ac:dyDescent="0.3">
      <c r="A5" s="1" t="s">
        <v>72</v>
      </c>
      <c r="B5" s="113">
        <f>HLOOKUP(B$1,$C$64:$L$99,33)</f>
        <v>0.02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4.4" x14ac:dyDescent="0.3">
      <c r="A6" s="114" t="s">
        <v>94</v>
      </c>
      <c r="B6" s="113">
        <f>HLOOKUP(B$1,$C$64:$L$99,34)</f>
        <v>1.4999999999999999E-2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4.4" x14ac:dyDescent="0.3">
      <c r="A7" s="1" t="s">
        <v>95</v>
      </c>
      <c r="B7" s="113">
        <f>HLOOKUP(B$1,$C$64:$L$99,35)</f>
        <v>1.4999999999999999E-2</v>
      </c>
      <c r="D7" s="17"/>
      <c r="E7" s="17"/>
      <c r="F7" s="17"/>
      <c r="G7" s="17"/>
      <c r="H7" s="17"/>
      <c r="I7" s="17"/>
      <c r="J7" s="17"/>
      <c r="K7" s="17"/>
      <c r="L7" s="17"/>
    </row>
    <row r="8" spans="1:13" ht="14.4" x14ac:dyDescent="0.3">
      <c r="A8" t="s">
        <v>18</v>
      </c>
      <c r="B8" s="115">
        <f>HLOOKUP(B$1,$C$64:$L$99,36)</f>
        <v>10</v>
      </c>
      <c r="C8" s="17" t="s">
        <v>19</v>
      </c>
      <c r="E8" s="17"/>
      <c r="F8" s="17"/>
      <c r="G8" s="17"/>
      <c r="H8" s="17"/>
      <c r="I8" s="17"/>
      <c r="J8" s="17"/>
      <c r="K8" s="17"/>
      <c r="L8" s="17"/>
    </row>
    <row r="9" spans="1:13" ht="14.4" x14ac:dyDescent="0.3">
      <c r="B9" s="18"/>
      <c r="D9" s="18"/>
      <c r="E9" s="18"/>
      <c r="F9" s="18"/>
      <c r="G9" s="18"/>
      <c r="H9" s="18"/>
      <c r="I9" s="18"/>
      <c r="J9" s="18"/>
      <c r="K9" s="18"/>
      <c r="L9" s="18"/>
    </row>
    <row r="10" spans="1:13" ht="14.4" x14ac:dyDescent="0.3">
      <c r="A10" t="s">
        <v>20</v>
      </c>
      <c r="B10" s="19">
        <v>0</v>
      </c>
      <c r="C10" s="19">
        <f>IF($B8&lt;1,"",1)</f>
        <v>1</v>
      </c>
      <c r="D10" s="19">
        <f t="shared" ref="D10:L10" si="0">IF($B8&lt;D62,"",D62)</f>
        <v>2</v>
      </c>
      <c r="E10" s="19">
        <f t="shared" si="0"/>
        <v>3</v>
      </c>
      <c r="F10" s="19">
        <f t="shared" si="0"/>
        <v>4</v>
      </c>
      <c r="G10" s="19">
        <f t="shared" si="0"/>
        <v>5</v>
      </c>
      <c r="H10" s="19">
        <f t="shared" si="0"/>
        <v>6</v>
      </c>
      <c r="I10" s="19">
        <f t="shared" si="0"/>
        <v>7</v>
      </c>
      <c r="J10" s="19">
        <f t="shared" si="0"/>
        <v>8</v>
      </c>
      <c r="K10" s="19">
        <f t="shared" si="0"/>
        <v>9</v>
      </c>
      <c r="L10" s="19">
        <f t="shared" si="0"/>
        <v>10</v>
      </c>
    </row>
    <row r="11" spans="1:13" ht="14.4" x14ac:dyDescent="0.3">
      <c r="A11" t="s">
        <v>21</v>
      </c>
      <c r="B11" s="14">
        <v>0</v>
      </c>
      <c r="C11" s="16">
        <f>HLOOKUP(B$1,$C$64:$L$92,8)</f>
        <v>50160</v>
      </c>
      <c r="D11" s="16">
        <f>IF($B8&lt;D62,"",C11*(1+$B6))</f>
        <v>50912.399999999994</v>
      </c>
      <c r="E11" s="16">
        <f t="shared" ref="E11:L11" si="1">IF($B8&lt;E62,"",D11*(1+$B6))</f>
        <v>51676.085999999988</v>
      </c>
      <c r="F11" s="16">
        <f t="shared" si="1"/>
        <v>52451.227289999981</v>
      </c>
      <c r="G11" s="16">
        <f t="shared" si="1"/>
        <v>53237.995699349973</v>
      </c>
      <c r="H11" s="16">
        <f t="shared" si="1"/>
        <v>54036.565634840219</v>
      </c>
      <c r="I11" s="16">
        <f t="shared" si="1"/>
        <v>54847.114119362814</v>
      </c>
      <c r="J11" s="16">
        <f t="shared" si="1"/>
        <v>55669.820831153251</v>
      </c>
      <c r="K11" s="16">
        <f t="shared" si="1"/>
        <v>56504.868143620544</v>
      </c>
      <c r="L11" s="16">
        <f t="shared" si="1"/>
        <v>57352.44116577485</v>
      </c>
    </row>
    <row r="12" spans="1:13" ht="14.4" x14ac:dyDescent="0.3">
      <c r="A12" t="s">
        <v>22</v>
      </c>
      <c r="B12" s="14"/>
      <c r="C12" s="16"/>
      <c r="D12" s="16"/>
      <c r="E12" s="16"/>
      <c r="F12" s="16"/>
      <c r="G12" s="16"/>
      <c r="H12" s="16"/>
      <c r="I12" s="16"/>
      <c r="J12" s="16"/>
      <c r="K12" s="16"/>
      <c r="L12" s="16"/>
    </row>
    <row r="13" spans="1:13" ht="14.4" x14ac:dyDescent="0.3">
      <c r="A13" s="20" t="s">
        <v>23</v>
      </c>
      <c r="B13" s="14">
        <v>0</v>
      </c>
      <c r="C13" s="16">
        <f>HLOOKUP(B$1,$C$64:$L$92,16)*12</f>
        <v>0</v>
      </c>
      <c r="D13" s="16">
        <f>IF($B$8&lt;D$62,"",C13*(1+$B$7))</f>
        <v>0</v>
      </c>
      <c r="E13" s="16">
        <f t="shared" ref="E13:L13" si="2">IF($B$8&lt;E$62,"",D13*(1+$B$7))</f>
        <v>0</v>
      </c>
      <c r="F13" s="16">
        <f t="shared" si="2"/>
        <v>0</v>
      </c>
      <c r="G13" s="16">
        <f t="shared" si="2"/>
        <v>0</v>
      </c>
      <c r="H13" s="16">
        <f t="shared" si="2"/>
        <v>0</v>
      </c>
      <c r="I13" s="16">
        <f t="shared" si="2"/>
        <v>0</v>
      </c>
      <c r="J13" s="16">
        <f t="shared" si="2"/>
        <v>0</v>
      </c>
      <c r="K13" s="16">
        <f t="shared" si="2"/>
        <v>0</v>
      </c>
      <c r="L13" s="16">
        <f t="shared" si="2"/>
        <v>0</v>
      </c>
      <c r="M13" s="16"/>
    </row>
    <row r="14" spans="1:13" ht="14.4" x14ac:dyDescent="0.3">
      <c r="A14" s="20" t="s">
        <v>24</v>
      </c>
      <c r="B14" s="14">
        <v>0</v>
      </c>
      <c r="C14" s="21">
        <f>HLOOKUP(B$1,$C$64:$L$92,17)*12</f>
        <v>5016</v>
      </c>
      <c r="D14" s="16">
        <f t="shared" ref="D14:L24" si="3">IF($B$8&lt;D$62,"",C14*(1+$B$7))</f>
        <v>5091.24</v>
      </c>
      <c r="E14" s="16">
        <f t="shared" si="3"/>
        <v>5167.6085999999996</v>
      </c>
      <c r="F14" s="16">
        <f t="shared" si="3"/>
        <v>5245.1227289999988</v>
      </c>
      <c r="G14" s="16">
        <f t="shared" si="3"/>
        <v>5323.7995699349985</v>
      </c>
      <c r="H14" s="16">
        <f t="shared" si="3"/>
        <v>5403.6565634840226</v>
      </c>
      <c r="I14" s="16">
        <f t="shared" si="3"/>
        <v>5484.7114119362823</v>
      </c>
      <c r="J14" s="16">
        <f t="shared" si="3"/>
        <v>5566.9820831153256</v>
      </c>
      <c r="K14" s="16">
        <f t="shared" si="3"/>
        <v>5650.4868143620552</v>
      </c>
      <c r="L14" s="16">
        <f t="shared" si="3"/>
        <v>5735.2441165774853</v>
      </c>
    </row>
    <row r="15" spans="1:13" ht="14.4" x14ac:dyDescent="0.3">
      <c r="A15" s="20" t="s">
        <v>25</v>
      </c>
      <c r="B15" s="14">
        <v>0</v>
      </c>
      <c r="C15" s="16">
        <f>HLOOKUP(B$1,$C$64:$L$92,18)*12</f>
        <v>2191.1999999999998</v>
      </c>
      <c r="D15" s="16">
        <f t="shared" si="3"/>
        <v>2224.0679999999998</v>
      </c>
      <c r="E15" s="16">
        <f t="shared" si="3"/>
        <v>2257.4290199999996</v>
      </c>
      <c r="F15" s="16">
        <f t="shared" si="3"/>
        <v>2291.2904552999994</v>
      </c>
      <c r="G15" s="16">
        <f t="shared" si="3"/>
        <v>2325.6598121294992</v>
      </c>
      <c r="H15" s="16">
        <f t="shared" si="3"/>
        <v>2360.5447093114412</v>
      </c>
      <c r="I15" s="16">
        <f t="shared" si="3"/>
        <v>2395.9528799511127</v>
      </c>
      <c r="J15" s="16">
        <f t="shared" si="3"/>
        <v>2431.8921731503792</v>
      </c>
      <c r="K15" s="16">
        <f t="shared" si="3"/>
        <v>2468.3705557476346</v>
      </c>
      <c r="L15" s="16">
        <f t="shared" si="3"/>
        <v>2505.3961140838487</v>
      </c>
    </row>
    <row r="16" spans="1:13" ht="14.4" x14ac:dyDescent="0.3">
      <c r="A16" s="20" t="s">
        <v>26</v>
      </c>
      <c r="B16" s="14">
        <v>0</v>
      </c>
      <c r="C16" s="16">
        <f>HLOOKUP(B$1,$C$64:$L$92,19)*12</f>
        <v>1140</v>
      </c>
      <c r="D16" s="16">
        <f t="shared" si="3"/>
        <v>1157.0999999999999</v>
      </c>
      <c r="E16" s="16">
        <f t="shared" si="3"/>
        <v>1174.4564999999998</v>
      </c>
      <c r="F16" s="16">
        <f t="shared" si="3"/>
        <v>1192.0733474999997</v>
      </c>
      <c r="G16" s="16">
        <f t="shared" si="3"/>
        <v>1209.9544477124996</v>
      </c>
      <c r="H16" s="16">
        <f t="shared" si="3"/>
        <v>1228.1037644281869</v>
      </c>
      <c r="I16" s="16">
        <f t="shared" si="3"/>
        <v>1246.5253208946096</v>
      </c>
      <c r="J16" s="16">
        <f t="shared" si="3"/>
        <v>1265.2232007080286</v>
      </c>
      <c r="K16" s="16">
        <f t="shared" si="3"/>
        <v>1284.2015487186488</v>
      </c>
      <c r="L16" s="16">
        <f t="shared" si="3"/>
        <v>1303.4645719494285</v>
      </c>
    </row>
    <row r="17" spans="1:12" ht="14.4" x14ac:dyDescent="0.3">
      <c r="A17" s="20" t="s">
        <v>27</v>
      </c>
      <c r="B17" s="14">
        <v>0</v>
      </c>
      <c r="C17" s="16">
        <f>HLOOKUP(B$1,$C$64:$L$92,20)*12</f>
        <v>0</v>
      </c>
      <c r="D17" s="16">
        <f t="shared" si="3"/>
        <v>0</v>
      </c>
      <c r="E17" s="16">
        <f t="shared" si="3"/>
        <v>0</v>
      </c>
      <c r="F17" s="16">
        <f t="shared" si="3"/>
        <v>0</v>
      </c>
      <c r="G17" s="16">
        <f t="shared" si="3"/>
        <v>0</v>
      </c>
      <c r="H17" s="16">
        <f t="shared" si="3"/>
        <v>0</v>
      </c>
      <c r="I17" s="16">
        <f t="shared" si="3"/>
        <v>0</v>
      </c>
      <c r="J17" s="16">
        <f t="shared" si="3"/>
        <v>0</v>
      </c>
      <c r="K17" s="16">
        <f t="shared" si="3"/>
        <v>0</v>
      </c>
      <c r="L17" s="16">
        <f t="shared" si="3"/>
        <v>0</v>
      </c>
    </row>
    <row r="18" spans="1:12" ht="14.4" x14ac:dyDescent="0.3">
      <c r="A18" s="20" t="s">
        <v>28</v>
      </c>
      <c r="B18" s="14">
        <v>0</v>
      </c>
      <c r="C18" s="16">
        <f>HLOOKUP(B$1,$C$64:$L$92,21)*12</f>
        <v>182.39999999999998</v>
      </c>
      <c r="D18" s="16">
        <f t="shared" si="3"/>
        <v>185.13599999999997</v>
      </c>
      <c r="E18" s="16">
        <f t="shared" si="3"/>
        <v>187.91303999999994</v>
      </c>
      <c r="F18" s="16">
        <f t="shared" si="3"/>
        <v>190.73173559999992</v>
      </c>
      <c r="G18" s="16">
        <f t="shared" si="3"/>
        <v>193.5927116339999</v>
      </c>
      <c r="H18" s="16">
        <f t="shared" si="3"/>
        <v>196.49660230850986</v>
      </c>
      <c r="I18" s="16">
        <f t="shared" si="3"/>
        <v>199.44405134313749</v>
      </c>
      <c r="J18" s="16">
        <f t="shared" si="3"/>
        <v>202.43571211328452</v>
      </c>
      <c r="K18" s="16">
        <f t="shared" si="3"/>
        <v>205.47224779498376</v>
      </c>
      <c r="L18" s="16">
        <f t="shared" si="3"/>
        <v>208.55433151190849</v>
      </c>
    </row>
    <row r="19" spans="1:12" ht="14.4" x14ac:dyDescent="0.3">
      <c r="A19" s="20" t="s">
        <v>29</v>
      </c>
      <c r="B19" s="14">
        <v>0</v>
      </c>
      <c r="C19" s="16">
        <f>HLOOKUP(B$1,$C$64:$L$92,22)*12</f>
        <v>0</v>
      </c>
      <c r="D19" s="16">
        <f t="shared" si="3"/>
        <v>0</v>
      </c>
      <c r="E19" s="16">
        <f t="shared" si="3"/>
        <v>0</v>
      </c>
      <c r="F19" s="16">
        <f t="shared" si="3"/>
        <v>0</v>
      </c>
      <c r="G19" s="16">
        <f t="shared" si="3"/>
        <v>0</v>
      </c>
      <c r="H19" s="16">
        <f t="shared" si="3"/>
        <v>0</v>
      </c>
      <c r="I19" s="16">
        <f t="shared" si="3"/>
        <v>0</v>
      </c>
      <c r="J19" s="16">
        <f t="shared" si="3"/>
        <v>0</v>
      </c>
      <c r="K19" s="16">
        <f t="shared" si="3"/>
        <v>0</v>
      </c>
      <c r="L19" s="16">
        <f t="shared" si="3"/>
        <v>0</v>
      </c>
    </row>
    <row r="20" spans="1:12" ht="14.4" x14ac:dyDescent="0.3">
      <c r="A20" s="20" t="s">
        <v>30</v>
      </c>
      <c r="B20" s="14">
        <v>0</v>
      </c>
      <c r="C20" s="16">
        <f>HLOOKUP(B$1,$C$64:$L$92,23)*12</f>
        <v>0</v>
      </c>
      <c r="D20" s="16">
        <f t="shared" si="3"/>
        <v>0</v>
      </c>
      <c r="E20" s="16">
        <f t="shared" si="3"/>
        <v>0</v>
      </c>
      <c r="F20" s="16">
        <f t="shared" si="3"/>
        <v>0</v>
      </c>
      <c r="G20" s="16">
        <f t="shared" si="3"/>
        <v>0</v>
      </c>
      <c r="H20" s="16">
        <f t="shared" si="3"/>
        <v>0</v>
      </c>
      <c r="I20" s="16">
        <f t="shared" si="3"/>
        <v>0</v>
      </c>
      <c r="J20" s="16">
        <f t="shared" si="3"/>
        <v>0</v>
      </c>
      <c r="K20" s="16">
        <f t="shared" si="3"/>
        <v>0</v>
      </c>
      <c r="L20" s="16">
        <f t="shared" si="3"/>
        <v>0</v>
      </c>
    </row>
    <row r="21" spans="1:12" ht="14.4" x14ac:dyDescent="0.3">
      <c r="A21" s="20" t="s">
        <v>31</v>
      </c>
      <c r="B21" s="14">
        <v>0</v>
      </c>
      <c r="C21" s="16">
        <f>HLOOKUP(B$1,$C$64:$L$92,24)*12</f>
        <v>4725</v>
      </c>
      <c r="D21" s="16">
        <f t="shared" si="3"/>
        <v>4795.8749999999991</v>
      </c>
      <c r="E21" s="16">
        <f t="shared" si="3"/>
        <v>4867.8131249999988</v>
      </c>
      <c r="F21" s="16">
        <f t="shared" si="3"/>
        <v>4940.8303218749979</v>
      </c>
      <c r="G21" s="16">
        <f t="shared" si="3"/>
        <v>5014.942776703122</v>
      </c>
      <c r="H21" s="16">
        <f t="shared" si="3"/>
        <v>5090.1669183536687</v>
      </c>
      <c r="I21" s="16">
        <f t="shared" si="3"/>
        <v>5166.519422128973</v>
      </c>
      <c r="J21" s="16">
        <f t="shared" si="3"/>
        <v>5244.0172134609074</v>
      </c>
      <c r="K21" s="16">
        <f t="shared" si="3"/>
        <v>5322.6774716628206</v>
      </c>
      <c r="L21" s="16">
        <f t="shared" si="3"/>
        <v>5402.5176337377625</v>
      </c>
    </row>
    <row r="22" spans="1:12" ht="14.4" x14ac:dyDescent="0.3">
      <c r="A22" s="20" t="s">
        <v>32</v>
      </c>
      <c r="B22" s="14">
        <v>0</v>
      </c>
      <c r="C22" s="16">
        <f>HLOOKUP(B$1,$C$64:$L$92,25)*12</f>
        <v>25498.560000000001</v>
      </c>
      <c r="D22" s="16">
        <f t="shared" si="3"/>
        <v>25881.038399999998</v>
      </c>
      <c r="E22" s="16">
        <f t="shared" si="3"/>
        <v>26269.253975999996</v>
      </c>
      <c r="F22" s="16">
        <f t="shared" si="3"/>
        <v>26663.292785639995</v>
      </c>
      <c r="G22" s="16">
        <f t="shared" si="3"/>
        <v>27063.242177424592</v>
      </c>
      <c r="H22" s="16">
        <f t="shared" si="3"/>
        <v>27469.190810085958</v>
      </c>
      <c r="I22" s="16">
        <f t="shared" si="3"/>
        <v>27881.228672237245</v>
      </c>
      <c r="J22" s="16">
        <f t="shared" si="3"/>
        <v>28299.447102320799</v>
      </c>
      <c r="K22" s="16">
        <f t="shared" si="3"/>
        <v>28723.938808855608</v>
      </c>
      <c r="L22" s="16">
        <f t="shared" si="3"/>
        <v>29154.79789098844</v>
      </c>
    </row>
    <row r="23" spans="1:12" ht="14.4" x14ac:dyDescent="0.3">
      <c r="A23" s="20" t="s">
        <v>33</v>
      </c>
      <c r="B23" s="14">
        <v>0</v>
      </c>
      <c r="C23" s="16">
        <f>HLOOKUP(B$1,$C$64:$L$92,26)*12</f>
        <v>3999.96</v>
      </c>
      <c r="D23" s="16">
        <f t="shared" si="3"/>
        <v>4059.9593999999997</v>
      </c>
      <c r="E23" s="16">
        <f t="shared" si="3"/>
        <v>4120.8587909999997</v>
      </c>
      <c r="F23" s="16">
        <f t="shared" si="3"/>
        <v>4182.671672864999</v>
      </c>
      <c r="G23" s="16">
        <f t="shared" si="3"/>
        <v>4245.4117479579736</v>
      </c>
      <c r="H23" s="16">
        <f t="shared" si="3"/>
        <v>4309.0929241773429</v>
      </c>
      <c r="I23" s="16">
        <f t="shared" si="3"/>
        <v>4373.7293180400029</v>
      </c>
      <c r="J23" s="16">
        <f t="shared" si="3"/>
        <v>4439.3352578106023</v>
      </c>
      <c r="K23" s="16">
        <f t="shared" si="3"/>
        <v>4505.9252866777606</v>
      </c>
      <c r="L23" s="16">
        <f t="shared" si="3"/>
        <v>4573.5141659779265</v>
      </c>
    </row>
    <row r="24" spans="1:12" ht="14.4" x14ac:dyDescent="0.3">
      <c r="A24" s="20" t="s">
        <v>34</v>
      </c>
      <c r="B24" s="14">
        <v>0</v>
      </c>
      <c r="C24" s="16">
        <f>HLOOKUP(B$1,$C$64:$L$92,27)*12</f>
        <v>0</v>
      </c>
      <c r="D24" s="16">
        <f t="shared" si="3"/>
        <v>0</v>
      </c>
      <c r="E24" s="16">
        <f t="shared" si="3"/>
        <v>0</v>
      </c>
      <c r="F24" s="16">
        <f t="shared" si="3"/>
        <v>0</v>
      </c>
      <c r="G24" s="16">
        <f t="shared" si="3"/>
        <v>0</v>
      </c>
      <c r="H24" s="16">
        <f t="shared" si="3"/>
        <v>0</v>
      </c>
      <c r="I24" s="16">
        <f t="shared" si="3"/>
        <v>0</v>
      </c>
      <c r="J24" s="16">
        <f t="shared" si="3"/>
        <v>0</v>
      </c>
      <c r="K24" s="16">
        <f t="shared" si="3"/>
        <v>0</v>
      </c>
      <c r="L24" s="16">
        <f t="shared" si="3"/>
        <v>0</v>
      </c>
    </row>
    <row r="25" spans="1:12" ht="14.4" x14ac:dyDescent="0.3">
      <c r="A25" s="20"/>
      <c r="B25" s="22"/>
      <c r="C25" s="23"/>
      <c r="D25" s="23"/>
      <c r="E25" s="23"/>
      <c r="F25" s="23"/>
      <c r="G25" s="23"/>
      <c r="H25" s="23"/>
      <c r="I25" s="23"/>
      <c r="J25" s="23"/>
      <c r="K25" s="23"/>
      <c r="L25" s="23"/>
    </row>
    <row r="26" spans="1:12" ht="14.4" x14ac:dyDescent="0.3">
      <c r="A26" s="20" t="s">
        <v>35</v>
      </c>
      <c r="B26" s="14">
        <v>0</v>
      </c>
      <c r="C26" s="16">
        <f>C11-SUM(C13:C25)</f>
        <v>7406.8799999999974</v>
      </c>
      <c r="D26" s="16">
        <f t="shared" ref="D26:L26" si="4">IF($B8&lt;D62,"",D11-SUM(D13:D25))</f>
        <v>7517.9831999999951</v>
      </c>
      <c r="E26" s="16">
        <f t="shared" si="4"/>
        <v>7630.7529479999939</v>
      </c>
      <c r="F26" s="16">
        <f t="shared" si="4"/>
        <v>7745.2142422199904</v>
      </c>
      <c r="G26" s="16">
        <f t="shared" si="4"/>
        <v>7861.392455853289</v>
      </c>
      <c r="H26" s="16">
        <f t="shared" si="4"/>
        <v>7979.3133426910863</v>
      </c>
      <c r="I26" s="16">
        <f t="shared" si="4"/>
        <v>8099.0030428314494</v>
      </c>
      <c r="J26" s="16">
        <f t="shared" si="4"/>
        <v>8220.488088473925</v>
      </c>
      <c r="K26" s="16">
        <f t="shared" si="4"/>
        <v>8343.7954098010305</v>
      </c>
      <c r="L26" s="16">
        <f t="shared" si="4"/>
        <v>8468.9523409480462</v>
      </c>
    </row>
    <row r="27" spans="1:12" ht="14.4" x14ac:dyDescent="0.3">
      <c r="A27" s="20"/>
      <c r="B27" s="14"/>
      <c r="C27" s="24"/>
      <c r="D27" s="24"/>
      <c r="E27" s="24"/>
      <c r="F27" s="24"/>
      <c r="G27" s="24"/>
      <c r="H27" s="24"/>
      <c r="I27" s="24"/>
      <c r="J27" s="24"/>
      <c r="K27" s="24"/>
      <c r="L27" s="24"/>
    </row>
    <row r="28" spans="1:12" ht="14.4" x14ac:dyDescent="0.3">
      <c r="A28" s="20" t="s">
        <v>36</v>
      </c>
      <c r="B28" s="16">
        <f>HLOOKUP(B$1,$C$64:$L$94,31)</f>
        <v>134625</v>
      </c>
      <c r="D28" s="24"/>
      <c r="E28" s="24"/>
      <c r="F28" s="24"/>
      <c r="G28" s="24"/>
      <c r="H28" s="24"/>
      <c r="I28" s="24"/>
      <c r="J28" s="24"/>
      <c r="K28" s="24"/>
      <c r="L28" s="24"/>
    </row>
    <row r="29" spans="1:12" ht="14.4" x14ac:dyDescent="0.3">
      <c r="A29" s="20" t="s">
        <v>37</v>
      </c>
      <c r="B29" s="14"/>
      <c r="C29" s="16" t="str">
        <f t="shared" ref="C29:L29" si="5">IF($B8=C62,$B4,"")</f>
        <v/>
      </c>
      <c r="D29" s="16" t="str">
        <f t="shared" si="5"/>
        <v/>
      </c>
      <c r="E29" s="16" t="str">
        <f t="shared" si="5"/>
        <v/>
      </c>
      <c r="F29" s="16" t="str">
        <f t="shared" si="5"/>
        <v/>
      </c>
      <c r="G29" s="16" t="str">
        <f t="shared" si="5"/>
        <v/>
      </c>
      <c r="H29" s="16" t="str">
        <f t="shared" si="5"/>
        <v/>
      </c>
      <c r="I29" s="16" t="str">
        <f t="shared" si="5"/>
        <v/>
      </c>
      <c r="J29" s="16" t="str">
        <f t="shared" si="5"/>
        <v/>
      </c>
      <c r="K29" s="16" t="str">
        <f t="shared" si="5"/>
        <v/>
      </c>
      <c r="L29" s="16">
        <f t="shared" si="5"/>
        <v>767966.48459669703</v>
      </c>
    </row>
    <row r="30" spans="1:12" ht="14.4" x14ac:dyDescent="0.3">
      <c r="A30" s="20" t="s">
        <v>38</v>
      </c>
      <c r="B30" s="14"/>
      <c r="C30" s="16" t="str">
        <f t="shared" ref="C30:L30" si="6">IF($B8=C62,0.06*C29,"")</f>
        <v/>
      </c>
      <c r="D30" s="16" t="str">
        <f t="shared" si="6"/>
        <v/>
      </c>
      <c r="E30" s="16" t="str">
        <f t="shared" si="6"/>
        <v/>
      </c>
      <c r="F30" s="16" t="str">
        <f t="shared" si="6"/>
        <v/>
      </c>
      <c r="G30" s="16" t="str">
        <f t="shared" si="6"/>
        <v/>
      </c>
      <c r="H30" s="16" t="str">
        <f t="shared" si="6"/>
        <v/>
      </c>
      <c r="I30" s="16" t="str">
        <f t="shared" si="6"/>
        <v/>
      </c>
      <c r="J30" s="16" t="str">
        <f t="shared" si="6"/>
        <v/>
      </c>
      <c r="K30" s="16" t="str">
        <f t="shared" si="6"/>
        <v/>
      </c>
      <c r="L30" s="16">
        <f t="shared" si="6"/>
        <v>46077.989075801823</v>
      </c>
    </row>
    <row r="31" spans="1:12" ht="14.4" x14ac:dyDescent="0.3">
      <c r="A31" s="20" t="s">
        <v>39</v>
      </c>
      <c r="B31" s="23"/>
      <c r="C31" s="23" t="str">
        <f t="shared" ref="C31:L31" si="7">IF($B8=C62,$B102+CUMPRINC($B100/12,$B101*12,$B102,1,C62*12,0),"")</f>
        <v/>
      </c>
      <c r="D31" s="23" t="str">
        <f t="shared" si="7"/>
        <v/>
      </c>
      <c r="E31" s="23" t="str">
        <f t="shared" si="7"/>
        <v/>
      </c>
      <c r="F31" s="23" t="str">
        <f t="shared" si="7"/>
        <v/>
      </c>
      <c r="G31" s="23" t="str">
        <f t="shared" si="7"/>
        <v/>
      </c>
      <c r="H31" s="23" t="str">
        <f t="shared" si="7"/>
        <v/>
      </c>
      <c r="I31" s="23" t="str">
        <f t="shared" si="7"/>
        <v/>
      </c>
      <c r="J31" s="23" t="str">
        <f t="shared" si="7"/>
        <v/>
      </c>
      <c r="K31" s="23" t="str">
        <f t="shared" si="7"/>
        <v/>
      </c>
      <c r="L31" s="23">
        <f t="shared" si="7"/>
        <v>383139.83656239195</v>
      </c>
    </row>
    <row r="32" spans="1:12" ht="14.4" x14ac:dyDescent="0.3">
      <c r="A32" s="20" t="s">
        <v>40</v>
      </c>
      <c r="B32" s="16">
        <f>-B28</f>
        <v>-134625</v>
      </c>
      <c r="C32" s="16">
        <f>C26</f>
        <v>7406.8799999999974</v>
      </c>
      <c r="D32" s="16">
        <f t="shared" ref="D32:L32" si="8">IF($B8=D62,D26+D29-D30-D31,D26)</f>
        <v>7517.9831999999951</v>
      </c>
      <c r="E32" s="16">
        <f t="shared" si="8"/>
        <v>7630.7529479999939</v>
      </c>
      <c r="F32" s="16">
        <f t="shared" si="8"/>
        <v>7745.2142422199904</v>
      </c>
      <c r="G32" s="16">
        <f t="shared" si="8"/>
        <v>7861.392455853289</v>
      </c>
      <c r="H32" s="16">
        <f t="shared" si="8"/>
        <v>7979.3133426910863</v>
      </c>
      <c r="I32" s="16">
        <f t="shared" si="8"/>
        <v>8099.0030428314494</v>
      </c>
      <c r="J32" s="16">
        <f t="shared" si="8"/>
        <v>8220.488088473925</v>
      </c>
      <c r="K32" s="16">
        <f t="shared" si="8"/>
        <v>8343.7954098010305</v>
      </c>
      <c r="L32" s="16">
        <f t="shared" si="8"/>
        <v>347217.61129945132</v>
      </c>
    </row>
    <row r="33" spans="1:12" ht="14.4" x14ac:dyDescent="0.3">
      <c r="A33" s="20" t="s">
        <v>41</v>
      </c>
      <c r="B33" s="16">
        <f>B32</f>
        <v>-134625</v>
      </c>
      <c r="C33" s="16">
        <f>B33+C32</f>
        <v>-127218.12</v>
      </c>
      <c r="D33" s="16">
        <f>IF($B8&lt;D62,"",C33+D32)</f>
        <v>-119700.13680000001</v>
      </c>
      <c r="E33" s="16">
        <f t="shared" ref="E33:L33" si="9">IF($B8&lt;E62,"",D33+E32)</f>
        <v>-112069.38385200001</v>
      </c>
      <c r="F33" s="16">
        <f t="shared" si="9"/>
        <v>-104324.16960978002</v>
      </c>
      <c r="G33" s="16">
        <f t="shared" si="9"/>
        <v>-96462.777153926727</v>
      </c>
      <c r="H33" s="16">
        <f t="shared" si="9"/>
        <v>-88483.463811235648</v>
      </c>
      <c r="I33" s="16">
        <f t="shared" si="9"/>
        <v>-80384.460768404198</v>
      </c>
      <c r="J33" s="16">
        <f t="shared" si="9"/>
        <v>-72163.972679930273</v>
      </c>
      <c r="K33" s="16">
        <f t="shared" si="9"/>
        <v>-63820.177270129243</v>
      </c>
      <c r="L33" s="16">
        <f t="shared" si="9"/>
        <v>283397.43402932206</v>
      </c>
    </row>
    <row r="34" spans="1:12" ht="14.4" x14ac:dyDescent="0.3">
      <c r="A34" s="20" t="s">
        <v>42</v>
      </c>
      <c r="B34" s="25" t="str">
        <f t="shared" ref="B34:F34" si="10">IF($B8=B62,B33/$B28,"")</f>
        <v/>
      </c>
      <c r="C34" s="25" t="str">
        <f t="shared" si="10"/>
        <v/>
      </c>
      <c r="D34" s="25" t="str">
        <f t="shared" si="10"/>
        <v/>
      </c>
      <c r="E34" s="25" t="str">
        <f t="shared" si="10"/>
        <v/>
      </c>
      <c r="F34" s="25" t="str">
        <f t="shared" si="10"/>
        <v/>
      </c>
      <c r="G34" s="25" t="str">
        <f>IF($B8=G62,G33/$B28,"")</f>
        <v/>
      </c>
      <c r="H34" s="25" t="str">
        <f t="shared" ref="H34:L34" si="11">IF($B8=H62,H33/$B28,"")</f>
        <v/>
      </c>
      <c r="I34" s="25" t="str">
        <f t="shared" si="11"/>
        <v/>
      </c>
      <c r="J34" s="25" t="str">
        <f t="shared" si="11"/>
        <v/>
      </c>
      <c r="K34" s="25" t="str">
        <f t="shared" si="11"/>
        <v/>
      </c>
      <c r="L34" s="25">
        <f t="shared" si="11"/>
        <v>2.1050877179522529</v>
      </c>
    </row>
    <row r="35" spans="1:12" ht="14.4" x14ac:dyDescent="0.3">
      <c r="A35" s="20" t="s">
        <v>16</v>
      </c>
      <c r="B35" s="20"/>
      <c r="C35" s="25" t="str">
        <f t="shared" ref="C35:F35" si="12">IF($B8=C62,((C33+$B28)/$B28)^(1/C62)-1,"")</f>
        <v/>
      </c>
      <c r="D35" s="25" t="str">
        <f t="shared" si="12"/>
        <v/>
      </c>
      <c r="E35" s="25" t="str">
        <f t="shared" si="12"/>
        <v/>
      </c>
      <c r="F35" s="25" t="str">
        <f t="shared" si="12"/>
        <v/>
      </c>
      <c r="G35" s="25" t="str">
        <f>IF($B8=G62,((G33+$B28)/$B28)^(1/G62)-1,"")</f>
        <v/>
      </c>
      <c r="H35" s="25" t="str">
        <f t="shared" ref="H35:L35" si="13">IF($B8=H62,((H33+$B28)/$B28)^(1/H62)-1,"")</f>
        <v/>
      </c>
      <c r="I35" s="25" t="str">
        <f t="shared" si="13"/>
        <v/>
      </c>
      <c r="J35" s="25" t="str">
        <f t="shared" si="13"/>
        <v/>
      </c>
      <c r="K35" s="25" t="str">
        <f t="shared" si="13"/>
        <v/>
      </c>
      <c r="L35" s="25">
        <f t="shared" si="13"/>
        <v>0.11997257293186392</v>
      </c>
    </row>
    <row r="36" spans="1:12" ht="14.4" x14ac:dyDescent="0.3">
      <c r="A36" s="20"/>
      <c r="B36" s="20"/>
      <c r="C36" s="24"/>
      <c r="D36" s="24"/>
      <c r="E36" s="24"/>
      <c r="F36" s="24"/>
      <c r="G36" s="24"/>
      <c r="H36" s="24"/>
      <c r="I36" s="24"/>
      <c r="J36" s="24"/>
      <c r="K36" s="24"/>
      <c r="L36" s="24"/>
    </row>
    <row r="37" spans="1:12" ht="14.4" x14ac:dyDescent="0.3">
      <c r="A37" s="20"/>
      <c r="B37" s="20"/>
      <c r="C37" s="24"/>
      <c r="D37" s="24"/>
      <c r="E37" s="24"/>
      <c r="F37" s="24"/>
      <c r="G37" s="24"/>
      <c r="H37" s="24"/>
      <c r="I37" s="24"/>
      <c r="J37" s="24"/>
      <c r="K37" s="24"/>
      <c r="L37" s="24"/>
    </row>
    <row r="38" spans="1:12" ht="14.4" x14ac:dyDescent="0.3">
      <c r="A38" s="20"/>
      <c r="B38" s="20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ht="14.4" x14ac:dyDescent="0.3">
      <c r="A39" s="20"/>
      <c r="B39" s="20"/>
      <c r="C39" s="24"/>
      <c r="D39" s="24"/>
      <c r="E39" s="24"/>
      <c r="F39" s="24"/>
      <c r="G39" s="24"/>
      <c r="H39" s="24"/>
      <c r="I39" s="24"/>
      <c r="J39" s="24"/>
      <c r="K39" s="24"/>
      <c r="L39" s="24"/>
    </row>
    <row r="40" spans="1:12" ht="14.4" x14ac:dyDescent="0.3">
      <c r="A40" s="20"/>
      <c r="B40" s="20"/>
      <c r="C40" s="24"/>
      <c r="D40" s="24"/>
      <c r="E40" s="24"/>
      <c r="F40" s="24"/>
      <c r="G40" s="24"/>
      <c r="H40" s="24"/>
      <c r="I40" s="24"/>
      <c r="J40" s="24"/>
      <c r="K40" s="24"/>
      <c r="L40" s="24"/>
    </row>
    <row r="41" spans="1:12" ht="14.4" x14ac:dyDescent="0.3">
      <c r="A41" s="20"/>
      <c r="B41" s="20"/>
      <c r="C41" s="24"/>
      <c r="D41" s="24"/>
      <c r="E41" s="24"/>
      <c r="F41" s="24"/>
      <c r="G41" s="24"/>
      <c r="H41" s="24"/>
      <c r="I41" s="24"/>
      <c r="J41" s="24"/>
      <c r="K41" s="24"/>
      <c r="L41" s="24"/>
    </row>
    <row r="42" spans="1:12" ht="14.4" x14ac:dyDescent="0.3">
      <c r="A42" s="20"/>
      <c r="B42" s="20"/>
      <c r="C42" s="24"/>
      <c r="D42" s="24"/>
      <c r="E42" s="24"/>
      <c r="F42" s="24"/>
      <c r="G42" s="24"/>
      <c r="H42" s="24"/>
      <c r="I42" s="24"/>
      <c r="J42" s="24"/>
      <c r="K42" s="24"/>
      <c r="L42" s="24"/>
    </row>
    <row r="43" spans="1:12" ht="14.4" x14ac:dyDescent="0.3">
      <c r="A43" s="20"/>
      <c r="B43" s="20"/>
      <c r="C43" s="24"/>
      <c r="D43" s="24"/>
      <c r="E43" s="24"/>
      <c r="F43" s="24"/>
      <c r="G43" s="24"/>
      <c r="H43" s="24"/>
      <c r="I43" s="24"/>
      <c r="J43" s="24"/>
      <c r="K43" s="24"/>
      <c r="L43" s="24"/>
    </row>
    <row r="44" spans="1:12" ht="14.4" x14ac:dyDescent="0.3">
      <c r="A44" s="20"/>
      <c r="B44" s="20"/>
      <c r="C44" s="24"/>
      <c r="D44" s="24"/>
      <c r="E44" s="24"/>
      <c r="F44" s="24"/>
      <c r="G44" s="24"/>
      <c r="H44" s="24"/>
      <c r="I44" s="24"/>
      <c r="J44" s="24"/>
      <c r="K44" s="24"/>
      <c r="L44" s="24"/>
    </row>
    <row r="45" spans="1:12" ht="14.4" x14ac:dyDescent="0.3">
      <c r="A45" s="20"/>
      <c r="B45" s="20"/>
      <c r="C45" s="24"/>
      <c r="D45" s="24"/>
      <c r="E45" s="24"/>
      <c r="F45" s="24"/>
      <c r="G45" s="24"/>
      <c r="H45" s="24"/>
      <c r="I45" s="24"/>
      <c r="J45" s="24"/>
      <c r="K45" s="24"/>
      <c r="L45" s="24"/>
    </row>
    <row r="46" spans="1:12" ht="14.4" x14ac:dyDescent="0.3">
      <c r="A46" s="20"/>
      <c r="B46" s="20"/>
      <c r="C46" s="24"/>
      <c r="D46" s="24"/>
      <c r="E46" s="24"/>
      <c r="F46" s="24"/>
      <c r="G46" s="24"/>
      <c r="H46" s="24"/>
      <c r="I46" s="24"/>
      <c r="J46" s="24"/>
      <c r="K46" s="24"/>
      <c r="L46" s="24"/>
    </row>
    <row r="47" spans="1:12" ht="14.4" x14ac:dyDescent="0.3">
      <c r="A47" s="20"/>
      <c r="B47" s="20"/>
      <c r="C47" s="24"/>
      <c r="D47" s="24"/>
      <c r="E47" s="24"/>
      <c r="F47" s="24"/>
      <c r="G47" s="24"/>
      <c r="H47" s="24"/>
      <c r="I47" s="24"/>
      <c r="J47" s="24"/>
      <c r="K47" s="24"/>
      <c r="L47" s="24"/>
    </row>
    <row r="48" spans="1:12" ht="14.4" x14ac:dyDescent="0.3">
      <c r="A48" s="20"/>
      <c r="B48" s="20"/>
      <c r="C48" s="24"/>
      <c r="D48" s="24"/>
      <c r="E48" s="24"/>
      <c r="F48" s="24"/>
      <c r="G48" s="24"/>
      <c r="H48" s="24"/>
      <c r="I48" s="24"/>
      <c r="J48" s="24"/>
      <c r="K48" s="24"/>
      <c r="L48" s="24"/>
    </row>
    <row r="49" spans="1:12" ht="14.4" x14ac:dyDescent="0.3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</row>
    <row r="50" spans="1:12" ht="14.4" x14ac:dyDescent="0.3">
      <c r="A50" s="20"/>
      <c r="B50" s="20"/>
      <c r="C50" s="24"/>
      <c r="D50" s="24"/>
      <c r="E50" s="24"/>
      <c r="F50" s="24"/>
      <c r="G50" s="24"/>
      <c r="H50" s="24"/>
      <c r="I50" s="24"/>
      <c r="J50" s="24"/>
      <c r="K50" s="24"/>
      <c r="L50" s="24"/>
    </row>
    <row r="51" spans="1:12" ht="14.4" x14ac:dyDescent="0.3">
      <c r="A51" s="20"/>
      <c r="B51" s="20"/>
      <c r="C51" s="24"/>
      <c r="D51" s="24"/>
      <c r="E51" s="24"/>
      <c r="F51" s="24"/>
      <c r="G51" s="24"/>
      <c r="H51" s="24"/>
      <c r="I51" s="24"/>
      <c r="J51" s="24"/>
      <c r="K51" s="24"/>
      <c r="L51" s="24"/>
    </row>
    <row r="52" spans="1:12" ht="14.4" x14ac:dyDescent="0.3">
      <c r="A52" s="20"/>
      <c r="B52" s="20"/>
      <c r="C52" s="24"/>
      <c r="D52" s="24"/>
      <c r="E52" s="24"/>
      <c r="F52" s="24"/>
      <c r="G52" s="24"/>
      <c r="H52" s="24"/>
      <c r="I52" s="24"/>
      <c r="J52" s="24"/>
      <c r="K52" s="24"/>
      <c r="L52" s="24"/>
    </row>
    <row r="53" spans="1:12" ht="14.4" x14ac:dyDescent="0.3">
      <c r="A53" s="20"/>
      <c r="B53" s="20"/>
      <c r="C53" s="24"/>
      <c r="D53" s="24"/>
      <c r="E53" s="24"/>
      <c r="F53" s="24"/>
      <c r="G53" s="24"/>
      <c r="H53" s="24"/>
      <c r="I53" s="24"/>
      <c r="J53" s="24"/>
      <c r="K53" s="24"/>
      <c r="L53" s="24"/>
    </row>
    <row r="54" spans="1:12" ht="14.4" x14ac:dyDescent="0.3">
      <c r="A54" s="20"/>
      <c r="B54" s="20"/>
      <c r="C54" s="24"/>
      <c r="D54" s="24"/>
      <c r="E54" s="24"/>
      <c r="F54" s="24"/>
      <c r="G54" s="24"/>
      <c r="H54" s="24"/>
      <c r="I54" s="24"/>
      <c r="J54" s="24"/>
      <c r="K54" s="24"/>
      <c r="L54" s="24"/>
    </row>
    <row r="55" spans="1:12" ht="14.4" x14ac:dyDescent="0.3">
      <c r="A55" s="20"/>
      <c r="B55" s="20"/>
      <c r="C55" s="24"/>
      <c r="D55" s="24"/>
      <c r="E55" s="24"/>
      <c r="F55" s="24"/>
      <c r="G55" s="24"/>
      <c r="H55" s="24"/>
      <c r="I55" s="24"/>
      <c r="J55" s="24"/>
      <c r="K55" s="24"/>
      <c r="L55" s="24"/>
    </row>
    <row r="56" spans="1:12" ht="14.4" x14ac:dyDescent="0.3">
      <c r="A56" s="20"/>
      <c r="B56" s="20"/>
      <c r="C56" s="24"/>
      <c r="D56" s="24"/>
      <c r="E56" s="24"/>
      <c r="F56" s="24"/>
      <c r="G56" s="24"/>
      <c r="H56" s="24"/>
      <c r="I56" s="24"/>
      <c r="J56" s="24"/>
      <c r="K56" s="24"/>
      <c r="L56" s="24"/>
    </row>
    <row r="57" spans="1:12" ht="14.4" x14ac:dyDescent="0.3">
      <c r="A57" s="20"/>
      <c r="B57" s="20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12" ht="14.4" x14ac:dyDescent="0.3">
      <c r="A58" s="20"/>
      <c r="B58" s="20"/>
      <c r="C58" s="24"/>
      <c r="D58" s="24"/>
      <c r="E58" s="24"/>
      <c r="F58" s="24"/>
      <c r="G58" s="24"/>
      <c r="H58" s="24"/>
      <c r="I58" s="24"/>
      <c r="J58" s="24"/>
      <c r="K58" s="24"/>
      <c r="L58" s="24"/>
    </row>
    <row r="59" spans="1:12" ht="14.4" x14ac:dyDescent="0.3">
      <c r="A59" s="20"/>
      <c r="B59" s="20"/>
      <c r="C59" s="24"/>
      <c r="D59" s="24"/>
      <c r="E59" s="24"/>
      <c r="F59" s="24"/>
      <c r="G59" s="24"/>
      <c r="H59" s="24"/>
      <c r="I59" s="24"/>
      <c r="J59" s="24"/>
      <c r="K59" s="24"/>
      <c r="L59" s="24"/>
    </row>
    <row r="60" spans="1:12" ht="14.4" x14ac:dyDescent="0.3">
      <c r="A60" s="20"/>
      <c r="B60" s="20"/>
      <c r="C60" s="24"/>
      <c r="D60" s="24"/>
      <c r="E60" s="24"/>
      <c r="F60" s="24"/>
      <c r="G60" s="24"/>
      <c r="H60" s="24"/>
      <c r="I60" s="24"/>
      <c r="J60" s="24"/>
      <c r="K60" s="24"/>
      <c r="L60" s="24"/>
    </row>
    <row r="61" spans="1:12" ht="14.4" x14ac:dyDescent="0.3">
      <c r="A61" s="20"/>
      <c r="B61" s="20"/>
      <c r="C61" s="24"/>
      <c r="D61" s="24"/>
      <c r="E61" s="24"/>
      <c r="F61" s="24"/>
      <c r="G61" s="24"/>
      <c r="H61" s="24"/>
      <c r="I61" s="24"/>
      <c r="J61" s="24"/>
      <c r="K61" s="24"/>
      <c r="L61" s="24"/>
    </row>
    <row r="62" spans="1:12" x14ac:dyDescent="0.25">
      <c r="A62" t="s">
        <v>43</v>
      </c>
      <c r="C62">
        <v>1</v>
      </c>
      <c r="D62">
        <v>2</v>
      </c>
      <c r="E62">
        <v>3</v>
      </c>
      <c r="F62">
        <v>4</v>
      </c>
      <c r="G62">
        <v>5</v>
      </c>
      <c r="H62">
        <v>6</v>
      </c>
      <c r="I62">
        <v>7</v>
      </c>
      <c r="J62">
        <v>8</v>
      </c>
      <c r="K62">
        <v>9</v>
      </c>
      <c r="L62">
        <v>10</v>
      </c>
    </row>
    <row r="64" spans="1:12" x14ac:dyDescent="0.25">
      <c r="A64" t="s">
        <v>14</v>
      </c>
      <c r="C64">
        <v>1</v>
      </c>
      <c r="D64">
        <v>2</v>
      </c>
      <c r="E64">
        <v>3</v>
      </c>
      <c r="F64">
        <v>4</v>
      </c>
      <c r="G64">
        <v>5</v>
      </c>
      <c r="H64">
        <v>6</v>
      </c>
      <c r="I64">
        <v>7</v>
      </c>
      <c r="J64">
        <v>8</v>
      </c>
      <c r="K64">
        <v>9</v>
      </c>
      <c r="L64">
        <v>10</v>
      </c>
    </row>
    <row r="65" spans="1:12" x14ac:dyDescent="0.25">
      <c r="A65" t="s">
        <v>15</v>
      </c>
      <c r="C65" t="str">
        <f>'Property 1'!$B1</f>
        <v>195 Belmont St</v>
      </c>
      <c r="D65" t="str">
        <f>'Property 2'!$B1</f>
        <v>50 Bracewell</v>
      </c>
      <c r="E65">
        <f>'Property 3'!$B1</f>
        <v>0</v>
      </c>
      <c r="F65">
        <f>'Property 4'!$B1</f>
        <v>0</v>
      </c>
      <c r="G65">
        <f>'Property 5'!$B1</f>
        <v>0</v>
      </c>
      <c r="H65">
        <f>'Property 6'!$B1</f>
        <v>0</v>
      </c>
      <c r="I65">
        <f>'Property 7'!$B1</f>
        <v>0</v>
      </c>
      <c r="J65">
        <f>'Property 8'!$B1</f>
        <v>0</v>
      </c>
      <c r="K65">
        <f>'Property 9'!$B1</f>
        <v>0</v>
      </c>
      <c r="L65">
        <f>'Property 10'!$B1</f>
        <v>0</v>
      </c>
    </row>
    <row r="66" spans="1:12" x14ac:dyDescent="0.25">
      <c r="A66" t="s">
        <v>17</v>
      </c>
      <c r="C66" s="26">
        <f>'Property 1'!$B13</f>
        <v>630000</v>
      </c>
      <c r="D66" s="26">
        <f>'Property 2'!$B13</f>
        <v>15000</v>
      </c>
      <c r="E66" s="26">
        <f>'Property 3'!$B13</f>
        <v>0</v>
      </c>
      <c r="F66" s="26">
        <f>'Property 4'!$B13</f>
        <v>140000</v>
      </c>
      <c r="G66" s="26">
        <f>'Property 5'!$B13</f>
        <v>229900</v>
      </c>
      <c r="H66" s="26">
        <f>'Property 6'!$B13</f>
        <v>305000</v>
      </c>
      <c r="I66" s="26">
        <f>'Property 7'!$B13</f>
        <v>130000</v>
      </c>
      <c r="J66" s="26">
        <f>'Property 8'!$B13</f>
        <v>140000</v>
      </c>
      <c r="K66" s="26">
        <f>'Property 9'!$B13</f>
        <v>0</v>
      </c>
      <c r="L66" s="26">
        <f>'Property 10'!$B13</f>
        <v>150000</v>
      </c>
    </row>
    <row r="67" spans="1:12" x14ac:dyDescent="0.25">
      <c r="A67" t="s">
        <v>44</v>
      </c>
      <c r="C67" s="26">
        <f>'Property 1'!$B12</f>
        <v>0</v>
      </c>
      <c r="D67" s="26">
        <f>'Property 2'!$B12</f>
        <v>80000</v>
      </c>
      <c r="E67" s="26">
        <f>'Property 3'!$B12</f>
        <v>0</v>
      </c>
      <c r="F67" s="26">
        <f>'Property 4'!$B12</f>
        <v>0</v>
      </c>
      <c r="G67" s="26">
        <f>'Property 5'!$B12</f>
        <v>0</v>
      </c>
      <c r="H67" s="26">
        <f>'Property 6'!$B12</f>
        <v>0</v>
      </c>
      <c r="I67" s="26">
        <f>'Property 7'!$B12</f>
        <v>0</v>
      </c>
      <c r="J67" s="26">
        <f>'Property 8'!$B12</f>
        <v>10000</v>
      </c>
      <c r="K67" s="26">
        <f>'Property 9'!$B12</f>
        <v>0</v>
      </c>
      <c r="L67" s="26">
        <f>'Property 10'!$B12</f>
        <v>40000</v>
      </c>
    </row>
    <row r="68" spans="1:12" x14ac:dyDescent="0.25">
      <c r="A68" t="s">
        <v>45</v>
      </c>
      <c r="C68">
        <f>'Property 1'!$B14</f>
        <v>4</v>
      </c>
      <c r="D68">
        <f>'Property 2'!$B14</f>
        <v>3</v>
      </c>
      <c r="E68">
        <f>'Property 3'!$B14</f>
        <v>0</v>
      </c>
      <c r="F68">
        <f>'Property 4'!$B14</f>
        <v>4</v>
      </c>
      <c r="G68">
        <f>'Property 5'!$B14</f>
        <v>4</v>
      </c>
      <c r="H68">
        <f>'Property 6'!$B14</f>
        <v>5</v>
      </c>
      <c r="I68">
        <f>'Property 7'!$B14</f>
        <v>2</v>
      </c>
      <c r="J68">
        <f>'Property 8'!$B14</f>
        <v>6</v>
      </c>
      <c r="K68">
        <f>'Property 9'!$B14</f>
        <v>8</v>
      </c>
      <c r="L68">
        <f>'Property 10'!$B14</f>
        <v>2</v>
      </c>
    </row>
    <row r="69" spans="1:12" x14ac:dyDescent="0.25">
      <c r="A69" t="s">
        <v>46</v>
      </c>
      <c r="C69" s="26">
        <f>'Property 1'!$B15</f>
        <v>4400</v>
      </c>
      <c r="D69" s="26">
        <f>'Property 2'!$B15</f>
        <v>2350</v>
      </c>
      <c r="E69" s="26">
        <f>'Property 3'!$B15</f>
        <v>5425</v>
      </c>
      <c r="F69" s="26">
        <f>'Property 4'!$B15</f>
        <v>2700</v>
      </c>
      <c r="G69" s="26">
        <f>'Property 5'!$B15</f>
        <v>0</v>
      </c>
      <c r="H69" s="26">
        <f>'Property 6'!$B15</f>
        <v>4050</v>
      </c>
      <c r="I69" s="26">
        <f>'Property 7'!$B15</f>
        <v>1350</v>
      </c>
      <c r="J69" s="26">
        <f>'Property 8'!$B15</f>
        <v>3900</v>
      </c>
      <c r="K69" s="26">
        <f>'Property 9'!$B15</f>
        <v>0</v>
      </c>
      <c r="L69" s="26">
        <f>'Property 10'!$B15</f>
        <v>2800</v>
      </c>
    </row>
    <row r="70" spans="1:12" x14ac:dyDescent="0.25">
      <c r="A70" t="s">
        <v>47</v>
      </c>
      <c r="C70" s="26">
        <f>'Property 1'!$B16</f>
        <v>52800</v>
      </c>
      <c r="D70" s="26">
        <f>'Property 2'!$B16</f>
        <v>28200</v>
      </c>
      <c r="E70" s="26">
        <f>'Property 3'!$B16</f>
        <v>65100</v>
      </c>
      <c r="F70" s="26">
        <f>'Property 4'!$B16</f>
        <v>32400</v>
      </c>
      <c r="G70" s="26">
        <f>'Property 5'!$B16</f>
        <v>0</v>
      </c>
      <c r="H70" s="26">
        <f>'Property 6'!$B16</f>
        <v>48600</v>
      </c>
      <c r="I70" s="26">
        <f>'Property 7'!$B16</f>
        <v>16200</v>
      </c>
      <c r="J70" s="26">
        <f>'Property 8'!$B16</f>
        <v>46800</v>
      </c>
      <c r="K70" s="26">
        <f>'Property 9'!$B16</f>
        <v>0</v>
      </c>
      <c r="L70" s="26">
        <f>'Property 10'!$B16</f>
        <v>33600</v>
      </c>
    </row>
    <row r="71" spans="1:12" x14ac:dyDescent="0.25">
      <c r="A71" t="s">
        <v>48</v>
      </c>
      <c r="C71" s="26">
        <f>C70*(1-'Property 1'!$B6)</f>
        <v>50160</v>
      </c>
      <c r="D71" s="26">
        <f>D70*(1-'Property 2'!$B6)</f>
        <v>26790</v>
      </c>
      <c r="E71" s="26">
        <f>E70*(1-'Property 3'!$B6)</f>
        <v>59892</v>
      </c>
      <c r="F71" s="26">
        <f>F70*(1-'Property 4'!$B6)</f>
        <v>29808</v>
      </c>
      <c r="G71" s="26">
        <f>G70*(1-'Property 5'!$B6)</f>
        <v>0</v>
      </c>
      <c r="H71" s="26">
        <f>H70*(1-'Property 6'!$B6)</f>
        <v>44712</v>
      </c>
      <c r="I71" s="26">
        <f>I70*(1-'Property 7'!$B6)</f>
        <v>15390</v>
      </c>
      <c r="J71" s="26">
        <f>J70*(1-'Property 8'!$B6)</f>
        <v>43056</v>
      </c>
      <c r="K71" s="26">
        <f>K70*(1-'Property 9'!$B6)</f>
        <v>0</v>
      </c>
      <c r="L71" s="26">
        <f>L70*(1-'Property 10'!$B6)</f>
        <v>30912</v>
      </c>
    </row>
    <row r="72" spans="1:12" x14ac:dyDescent="0.25">
      <c r="A72" t="s">
        <v>49</v>
      </c>
      <c r="C72" s="26">
        <f>'Property 1'!$F2</f>
        <v>504000</v>
      </c>
      <c r="D72" s="26">
        <f>'Property 2'!$F2</f>
        <v>71250</v>
      </c>
      <c r="E72" s="26">
        <f>'Property 3'!$F2</f>
        <v>0</v>
      </c>
      <c r="F72" s="26">
        <f>'Property 4'!$F2</f>
        <v>140000</v>
      </c>
      <c r="G72" s="26">
        <f>'Property 5'!$F2</f>
        <v>229900</v>
      </c>
      <c r="H72" s="26">
        <f>'Property 6'!$F2</f>
        <v>228750</v>
      </c>
      <c r="I72" s="26">
        <f>'Property 7'!$F2</f>
        <v>0</v>
      </c>
      <c r="J72" s="26">
        <f>'Property 8'!$F2</f>
        <v>120000</v>
      </c>
      <c r="K72" s="26">
        <f>'Property 9'!$F2</f>
        <v>0</v>
      </c>
      <c r="L72" s="26">
        <f>'Property 10'!$F2</f>
        <v>190000</v>
      </c>
    </row>
    <row r="73" spans="1:12" x14ac:dyDescent="0.25">
      <c r="A73" t="s">
        <v>50</v>
      </c>
      <c r="C73" s="27">
        <f>'Property 1'!$F3</f>
        <v>30</v>
      </c>
      <c r="D73" s="27">
        <f>'Property 2'!$F3</f>
        <v>20</v>
      </c>
      <c r="E73" s="27">
        <f>'Property 3'!$F3</f>
        <v>20</v>
      </c>
      <c r="F73" s="27">
        <f>'Property 4'!$F3</f>
        <v>20</v>
      </c>
      <c r="G73" s="27">
        <f>'Property 5'!$F3</f>
        <v>20</v>
      </c>
      <c r="H73" s="27">
        <f>'Property 6'!$F3</f>
        <v>20</v>
      </c>
      <c r="I73" s="27">
        <f>'Property 7'!$F3</f>
        <v>20</v>
      </c>
      <c r="J73" s="27">
        <f>'Property 8'!$F3</f>
        <v>20</v>
      </c>
      <c r="K73" s="27">
        <f>'Property 9'!$F3</f>
        <v>20</v>
      </c>
      <c r="L73" s="27">
        <f>'Property 10'!$F3</f>
        <v>20</v>
      </c>
    </row>
    <row r="74" spans="1:12" x14ac:dyDescent="0.25">
      <c r="A74" t="s">
        <v>51</v>
      </c>
      <c r="C74" s="28">
        <f>'Property 1'!$F4</f>
        <v>0.03</v>
      </c>
      <c r="D74" s="28">
        <f>'Property 2'!$F4</f>
        <v>0.05</v>
      </c>
      <c r="E74" s="28">
        <f>'Property 3'!$F4</f>
        <v>4.4999999999999998E-2</v>
      </c>
      <c r="F74" s="28">
        <f>'Property 4'!$F4</f>
        <v>4.4999999999999998E-2</v>
      </c>
      <c r="G74" s="28">
        <f>'Property 5'!$F4</f>
        <v>4.4999999999999998E-2</v>
      </c>
      <c r="H74" s="28">
        <f>'Property 6'!$F4</f>
        <v>4.4999999999999998E-2</v>
      </c>
      <c r="I74" s="28">
        <f>'Property 7'!$F4</f>
        <v>4.4999999999999998E-2</v>
      </c>
      <c r="J74" s="28">
        <f>'Property 8'!$F4</f>
        <v>4.4999999999999998E-2</v>
      </c>
      <c r="K74" s="28">
        <f>'Property 9'!$F4</f>
        <v>4.4999999999999998E-2</v>
      </c>
      <c r="L74" s="28">
        <f>'Property 10'!$F4</f>
        <v>4.4999999999999998E-2</v>
      </c>
    </row>
    <row r="75" spans="1:12" x14ac:dyDescent="0.25">
      <c r="A75" t="s">
        <v>13</v>
      </c>
      <c r="C75" s="10">
        <f>'Property 1'!$F5</f>
        <v>0</v>
      </c>
      <c r="D75" s="10">
        <f>'Property 2'!$F5</f>
        <v>0</v>
      </c>
      <c r="E75" s="10">
        <f>'Property 3'!$F5</f>
        <v>0</v>
      </c>
      <c r="F75" s="10">
        <f>'Property 4'!$F5</f>
        <v>0</v>
      </c>
      <c r="G75" s="10">
        <f>'Property 5'!$F5</f>
        <v>0</v>
      </c>
      <c r="H75" s="10">
        <f>'Property 6'!$F5</f>
        <v>0</v>
      </c>
      <c r="I75" s="10">
        <f>'Property 7'!$F5</f>
        <v>0</v>
      </c>
      <c r="J75" s="10">
        <f>'Property 8'!$F5</f>
        <v>0</v>
      </c>
      <c r="K75" s="10">
        <f>'Property 9'!$F5</f>
        <v>0</v>
      </c>
      <c r="L75" s="10">
        <f>'Property 10'!$F5</f>
        <v>0</v>
      </c>
    </row>
    <row r="76" spans="1:12" x14ac:dyDescent="0.25">
      <c r="A76" t="s">
        <v>52</v>
      </c>
      <c r="C76" s="26">
        <f>'Property 1'!$F6</f>
        <v>8625</v>
      </c>
      <c r="D76" s="26">
        <f>'Property 2'!$F6</f>
        <v>3618</v>
      </c>
      <c r="E76" s="26">
        <f>'Property 3'!$F6</f>
        <v>3005</v>
      </c>
      <c r="F76" s="26">
        <f>'Property 4'!$F6</f>
        <v>4055</v>
      </c>
      <c r="G76" s="26">
        <f>'Property 5'!$F6</f>
        <v>4729</v>
      </c>
      <c r="H76" s="26">
        <f>'Property 6'!$F6</f>
        <v>5293</v>
      </c>
      <c r="I76" s="26">
        <f>'Property 7'!$F6</f>
        <v>3980</v>
      </c>
      <c r="J76" s="26">
        <f>'Property 8'!$F6</f>
        <v>4205</v>
      </c>
      <c r="K76" s="26">
        <f>'Property 9'!$F6</f>
        <v>3005</v>
      </c>
      <c r="L76" s="26">
        <f>'Property 10'!$F6</f>
        <v>4130</v>
      </c>
    </row>
    <row r="77" spans="1:12" x14ac:dyDescent="0.25">
      <c r="A77" t="s">
        <v>53</v>
      </c>
      <c r="C77" s="29">
        <f>'Property 1'!$J2</f>
        <v>0.97673750988291086</v>
      </c>
      <c r="D77" s="29">
        <f>'Property 2'!$J2</f>
        <v>2.9029709497681933</v>
      </c>
      <c r="E77" s="29" t="str">
        <f>'Property 3'!$J2</f>
        <v>N/A</v>
      </c>
      <c r="F77" s="29">
        <f>'Property 4'!$J2</f>
        <v>1.2189317045082475</v>
      </c>
      <c r="G77" s="29">
        <f>'Property 5'!$J2</f>
        <v>-0.43849607414435604</v>
      </c>
      <c r="H77" s="29">
        <f>'Property 6'!$J2</f>
        <v>1.4067975409817184</v>
      </c>
      <c r="I77" s="29" t="str">
        <f>'Property 7'!$J2</f>
        <v>N/A</v>
      </c>
      <c r="J77" s="29">
        <f>'Property 8'!$J2</f>
        <v>2.4168576622144946</v>
      </c>
      <c r="K77" s="29" t="e">
        <f>'Property 9'!$J2</f>
        <v>#DIV/0!</v>
      </c>
      <c r="L77" s="29">
        <f>'Property 10'!$J2</f>
        <v>1.1313028792958577</v>
      </c>
    </row>
    <row r="78" spans="1:12" x14ac:dyDescent="0.25">
      <c r="A78" t="s">
        <v>54</v>
      </c>
    </row>
    <row r="79" spans="1:12" ht="14.4" x14ac:dyDescent="0.3">
      <c r="A79" s="20" t="s">
        <v>23</v>
      </c>
      <c r="B79" s="20"/>
      <c r="C79" s="29">
        <f>'Property 1'!$B19</f>
        <v>0</v>
      </c>
      <c r="D79" s="29">
        <f>'Property 2'!$B19</f>
        <v>0</v>
      </c>
      <c r="E79" s="29">
        <f>'Property 3'!$B20</f>
        <v>499.1</v>
      </c>
      <c r="F79" s="29">
        <f>'Property 4'!$B19</f>
        <v>0</v>
      </c>
      <c r="G79" s="29">
        <f>'Property 5'!$B19</f>
        <v>0</v>
      </c>
      <c r="H79" s="29">
        <f>'Property 6'!$B19</f>
        <v>0</v>
      </c>
      <c r="I79" s="29">
        <f>'Property 7'!$B19</f>
        <v>0</v>
      </c>
      <c r="J79" s="29">
        <f>'Property 8'!$B19</f>
        <v>0</v>
      </c>
      <c r="K79" s="29">
        <f>'Property 9'!$B19</f>
        <v>0</v>
      </c>
      <c r="L79" s="29">
        <f>'Property 10'!$B19</f>
        <v>0</v>
      </c>
    </row>
    <row r="80" spans="1:12" ht="14.4" x14ac:dyDescent="0.3">
      <c r="A80" s="20" t="s">
        <v>24</v>
      </c>
      <c r="B80" s="20"/>
      <c r="C80" s="29">
        <f>'Property 1'!$B20</f>
        <v>418</v>
      </c>
      <c r="D80" s="29">
        <f>'Property 2'!$B20</f>
        <v>223.25</v>
      </c>
      <c r="E80" s="29">
        <f>'Property 3'!$B21</f>
        <v>226.04</v>
      </c>
      <c r="F80" s="29">
        <f>'Property 4'!$B20</f>
        <v>248.4</v>
      </c>
      <c r="G80" s="29">
        <f>'Property 5'!$B20</f>
        <v>200</v>
      </c>
      <c r="H80" s="29">
        <f>'Property 6'!$B20</f>
        <v>372.6</v>
      </c>
      <c r="I80" s="29">
        <f>'Property 7'!$B20</f>
        <v>200</v>
      </c>
      <c r="J80" s="29">
        <f>'Property 8'!$B20</f>
        <v>358.8</v>
      </c>
      <c r="K80" s="29">
        <f>'Property 9'!$B20</f>
        <v>200</v>
      </c>
      <c r="L80" s="29">
        <f>'Property 10'!$B20</f>
        <v>257.60000000000002</v>
      </c>
    </row>
    <row r="81" spans="1:12" ht="14.4" x14ac:dyDescent="0.3">
      <c r="A81" s="20" t="s">
        <v>25</v>
      </c>
      <c r="B81" s="20"/>
      <c r="C81" s="29">
        <f>'Property 1'!$B21</f>
        <v>182.6</v>
      </c>
      <c r="D81" s="29">
        <f>'Property 2'!$B21</f>
        <v>97.92</v>
      </c>
      <c r="E81" s="29">
        <f>'Property 3'!$B22</f>
        <v>0</v>
      </c>
      <c r="F81" s="29">
        <f>'Property 4'!$B21</f>
        <v>112.5</v>
      </c>
      <c r="G81" s="29">
        <f>'Property 5'!$B21</f>
        <v>0</v>
      </c>
      <c r="H81" s="29">
        <f>'Property 6'!$B21</f>
        <v>168.75</v>
      </c>
      <c r="I81" s="29">
        <f>'Property 7'!$B21</f>
        <v>28.13</v>
      </c>
      <c r="J81" s="29">
        <f>'Property 8'!$B21</f>
        <v>162.5</v>
      </c>
      <c r="K81" s="29">
        <f>'Property 9'!$B21</f>
        <v>0</v>
      </c>
      <c r="L81" s="29">
        <f>'Property 10'!$B21</f>
        <v>116.67</v>
      </c>
    </row>
    <row r="82" spans="1:12" ht="14.4" x14ac:dyDescent="0.3">
      <c r="A82" s="20" t="s">
        <v>26</v>
      </c>
      <c r="B82" s="20"/>
      <c r="C82" s="29">
        <f>'Property 1'!$B22</f>
        <v>95</v>
      </c>
      <c r="D82" s="29">
        <f>'Property 2'!$B22</f>
        <v>35.625</v>
      </c>
      <c r="E82" s="29">
        <f>'Property 3'!$B23</f>
        <v>0</v>
      </c>
      <c r="F82" s="29">
        <f>'Property 4'!$B22</f>
        <v>36.800000000000004</v>
      </c>
      <c r="G82" s="29">
        <f>'Property 5'!$B22</f>
        <v>36.800000000000004</v>
      </c>
      <c r="H82" s="29">
        <f>'Property 6'!$B22</f>
        <v>42.166666666666671</v>
      </c>
      <c r="I82" s="29">
        <f>'Property 7'!$B22</f>
        <v>15.833333333333334</v>
      </c>
      <c r="J82" s="29">
        <f>'Property 8'!$B22</f>
        <v>230</v>
      </c>
      <c r="K82" s="29">
        <f>'Property 9'!$B22</f>
        <v>73.600000000000009</v>
      </c>
      <c r="L82" s="29">
        <f>'Property 10'!$B22</f>
        <v>18.400000000000002</v>
      </c>
    </row>
    <row r="83" spans="1:12" ht="14.4" x14ac:dyDescent="0.3">
      <c r="A83" s="20" t="s">
        <v>27</v>
      </c>
      <c r="B83" s="20"/>
      <c r="C83" s="29">
        <f>'Property 1'!$B23</f>
        <v>0</v>
      </c>
      <c r="D83" s="29">
        <f>'Property 2'!$B23</f>
        <v>71.25</v>
      </c>
      <c r="E83" s="29">
        <f>'Property 3'!$B24</f>
        <v>0</v>
      </c>
      <c r="F83" s="29">
        <f>'Property 4'!$B23</f>
        <v>73.600000000000009</v>
      </c>
      <c r="G83" s="29">
        <f>'Property 5'!$B23</f>
        <v>73.600000000000009</v>
      </c>
      <c r="H83" s="29">
        <f>'Property 6'!$B23</f>
        <v>84.333333333333343</v>
      </c>
      <c r="I83" s="29">
        <f>'Property 7'!$B23</f>
        <v>31.666666666666668</v>
      </c>
      <c r="J83" s="29">
        <f>'Property 8'!$B23</f>
        <v>230</v>
      </c>
      <c r="K83" s="29">
        <f>'Property 9'!$B23</f>
        <v>147.20000000000002</v>
      </c>
      <c r="L83" s="29">
        <f>'Property 10'!$B23</f>
        <v>36.800000000000004</v>
      </c>
    </row>
    <row r="84" spans="1:12" ht="14.4" x14ac:dyDescent="0.3">
      <c r="A84" s="20" t="s">
        <v>28</v>
      </c>
      <c r="B84" s="20"/>
      <c r="C84" s="29">
        <f>'Property 1'!$B24</f>
        <v>15.2</v>
      </c>
      <c r="D84" s="29">
        <f>'Property 2'!$B24</f>
        <v>0</v>
      </c>
      <c r="E84" s="29">
        <f>'Property 3'!$B25</f>
        <v>0</v>
      </c>
      <c r="F84" s="29">
        <f>'Property 4'!$B24</f>
        <v>0</v>
      </c>
      <c r="G84" s="29">
        <f>'Property 5'!$B24</f>
        <v>0</v>
      </c>
      <c r="H84" s="29">
        <f>'Property 6'!$B24</f>
        <v>0</v>
      </c>
      <c r="I84" s="29">
        <f>'Property 7'!$B24</f>
        <v>0</v>
      </c>
      <c r="J84" s="29">
        <f>'Property 8'!$B24</f>
        <v>55.2</v>
      </c>
      <c r="K84" s="29">
        <f>'Property 9'!$B24</f>
        <v>0</v>
      </c>
      <c r="L84" s="29">
        <f>'Property 10'!$B24</f>
        <v>0</v>
      </c>
    </row>
    <row r="85" spans="1:12" ht="14.4" x14ac:dyDescent="0.3">
      <c r="A85" s="20" t="s">
        <v>29</v>
      </c>
      <c r="B85" s="20"/>
      <c r="C85" s="29">
        <f>'Property 1'!$B25</f>
        <v>0</v>
      </c>
      <c r="D85" s="29">
        <f>'Property 2'!$B25</f>
        <v>0</v>
      </c>
      <c r="E85" s="29">
        <f>'Property 3'!$B26</f>
        <v>0</v>
      </c>
      <c r="F85" s="29">
        <f>'Property 4'!$B25</f>
        <v>0</v>
      </c>
      <c r="G85" s="29">
        <f>'Property 5'!$B25</f>
        <v>0</v>
      </c>
      <c r="H85" s="29">
        <f>'Property 6'!$B25</f>
        <v>0</v>
      </c>
      <c r="I85" s="29">
        <f>'Property 7'!$B25</f>
        <v>0</v>
      </c>
      <c r="J85" s="29">
        <f>'Property 8'!$B25</f>
        <v>0</v>
      </c>
      <c r="K85" s="29">
        <f>'Property 9'!$B25</f>
        <v>0</v>
      </c>
      <c r="L85" s="29">
        <f>'Property 10'!$B25</f>
        <v>0</v>
      </c>
    </row>
    <row r="86" spans="1:12" ht="14.4" x14ac:dyDescent="0.3">
      <c r="A86" s="20" t="s">
        <v>30</v>
      </c>
      <c r="B86" s="20"/>
      <c r="C86" s="29">
        <f>'Property 1'!$B26</f>
        <v>0</v>
      </c>
      <c r="D86" s="29">
        <f>'Property 2'!$B26</f>
        <v>30</v>
      </c>
      <c r="E86" s="29">
        <f>'Property 3'!$B27</f>
        <v>0</v>
      </c>
      <c r="F86" s="29">
        <f>'Property 4'!$B26</f>
        <v>40</v>
      </c>
      <c r="G86" s="29">
        <f>'Property 5'!$B26</f>
        <v>40</v>
      </c>
      <c r="H86" s="29">
        <f>'Property 6'!$B26</f>
        <v>50</v>
      </c>
      <c r="I86" s="29">
        <f>'Property 7'!$B26</f>
        <v>0</v>
      </c>
      <c r="J86" s="29">
        <f>'Property 8'!$B26</f>
        <v>0</v>
      </c>
      <c r="K86" s="29">
        <f>'Property 9'!$B26</f>
        <v>80</v>
      </c>
      <c r="L86" s="29">
        <f>'Property 10'!$B26</f>
        <v>20</v>
      </c>
    </row>
    <row r="87" spans="1:12" ht="14.4" x14ac:dyDescent="0.3">
      <c r="A87" s="20" t="s">
        <v>55</v>
      </c>
      <c r="B87" s="20"/>
      <c r="C87" s="29">
        <f>'Property 1'!$B27</f>
        <v>393.75</v>
      </c>
      <c r="D87" s="29">
        <f>'Property 2'!$B27</f>
        <v>62.5</v>
      </c>
      <c r="E87" s="29">
        <f>'Property 3'!$B28</f>
        <v>0</v>
      </c>
      <c r="F87" s="29">
        <f>'Property 4'!$B27</f>
        <v>175</v>
      </c>
      <c r="G87" s="29">
        <f>'Property 5'!$B27</f>
        <v>287.375</v>
      </c>
      <c r="H87" s="29">
        <f>'Property 6'!$B27</f>
        <v>254.16666666666666</v>
      </c>
      <c r="I87" s="29">
        <f>'Property 7'!$B27</f>
        <v>108.33333333333333</v>
      </c>
      <c r="J87" s="29">
        <f>'Property 8'!$B27</f>
        <v>175</v>
      </c>
      <c r="K87" s="29">
        <f>'Property 9'!$B27</f>
        <v>0</v>
      </c>
      <c r="L87" s="29">
        <f>'Property 10'!$B27</f>
        <v>250</v>
      </c>
    </row>
    <row r="88" spans="1:12" ht="14.4" x14ac:dyDescent="0.3">
      <c r="A88" s="20" t="s">
        <v>32</v>
      </c>
      <c r="B88" s="20"/>
      <c r="C88" s="29">
        <f>'Property 1'!$B28</f>
        <v>2124.88</v>
      </c>
      <c r="D88" s="29">
        <f>'Property 2'!$B28</f>
        <v>470.22</v>
      </c>
      <c r="E88" s="29">
        <f>'Property 3'!$B30</f>
        <v>375</v>
      </c>
      <c r="F88" s="29">
        <f>'Property 4'!$B28</f>
        <v>885.71</v>
      </c>
      <c r="G88" s="29">
        <f>'Property 5'!$B28</f>
        <v>1454.46</v>
      </c>
      <c r="H88" s="29">
        <f>'Property 6'!$B28</f>
        <v>1447.19</v>
      </c>
      <c r="I88" s="29">
        <f>'Property 7'!$B28</f>
        <v>0</v>
      </c>
      <c r="J88" s="29">
        <f>'Property 8'!$B28</f>
        <v>759.18</v>
      </c>
      <c r="K88" s="29">
        <f>'Property 9'!$B28</f>
        <v>0</v>
      </c>
      <c r="L88" s="29">
        <f>'Property 10'!$B28</f>
        <v>1202.03</v>
      </c>
    </row>
    <row r="89" spans="1:12" ht="14.4" x14ac:dyDescent="0.3">
      <c r="A89" s="20" t="s">
        <v>33</v>
      </c>
      <c r="B89" s="20"/>
      <c r="C89" s="29">
        <f>'Property 1'!$B30</f>
        <v>333.33</v>
      </c>
      <c r="D89" s="29">
        <f>'Property 2'!$B30</f>
        <v>166.67</v>
      </c>
      <c r="E89" s="29">
        <f>'Property 3'!$B31</f>
        <v>0</v>
      </c>
      <c r="F89" s="29">
        <f>'Property 4'!$B30</f>
        <v>333.33</v>
      </c>
      <c r="G89" s="29">
        <f>'Property 5'!$B30</f>
        <v>0</v>
      </c>
      <c r="H89" s="29">
        <f>'Property 6'!$B30</f>
        <v>250</v>
      </c>
      <c r="I89" s="29">
        <f>'Property 7'!$B30</f>
        <v>166.67</v>
      </c>
      <c r="J89" s="29">
        <f>'Property 8'!$B30</f>
        <v>250</v>
      </c>
      <c r="K89" s="29">
        <f>'Property 9'!$B30</f>
        <v>0</v>
      </c>
      <c r="L89" s="29">
        <f>'Property 10'!$B30</f>
        <v>166.67</v>
      </c>
    </row>
    <row r="90" spans="1:12" ht="14.4" x14ac:dyDescent="0.3">
      <c r="A90" s="20" t="s">
        <v>34</v>
      </c>
      <c r="B90" s="20"/>
      <c r="C90" s="29">
        <f>'Property 1'!$B31</f>
        <v>0</v>
      </c>
      <c r="D90" s="29">
        <f>'Property 2'!$B31</f>
        <v>0</v>
      </c>
      <c r="E90" s="29">
        <f>'Property 3'!$B32</f>
        <v>597</v>
      </c>
      <c r="F90" s="29">
        <f>'Property 4'!$B31</f>
        <v>0</v>
      </c>
      <c r="G90" s="29">
        <f>'Property 5'!$B31</f>
        <v>0</v>
      </c>
      <c r="H90" s="29">
        <f>'Property 6'!$B31</f>
        <v>0</v>
      </c>
      <c r="I90" s="29">
        <f>'Property 7'!$B31</f>
        <v>0</v>
      </c>
      <c r="J90" s="29">
        <f>'Property 8'!$B31</f>
        <v>0</v>
      </c>
      <c r="K90" s="29">
        <f>'Property 9'!$B31</f>
        <v>0</v>
      </c>
      <c r="L90" s="29">
        <f>'Property 10'!$B31</f>
        <v>0</v>
      </c>
    </row>
    <row r="91" spans="1:12" ht="14.4" x14ac:dyDescent="0.3">
      <c r="A91" s="20"/>
      <c r="B91" s="20"/>
      <c r="C91" s="29"/>
      <c r="D91" s="29"/>
      <c r="E91" s="29"/>
      <c r="F91" s="29"/>
      <c r="G91" s="29"/>
      <c r="H91" s="29"/>
      <c r="I91" s="29"/>
      <c r="J91" s="29"/>
      <c r="K91" s="29"/>
      <c r="L91" s="29"/>
    </row>
    <row r="92" spans="1:12" ht="14.4" x14ac:dyDescent="0.3">
      <c r="A92" s="20" t="s">
        <v>56</v>
      </c>
      <c r="B92" s="20"/>
      <c r="C92" s="29">
        <f t="shared" ref="C92:L92" si="14">SUM(C79:C91)</f>
        <v>3562.76</v>
      </c>
      <c r="D92" s="29">
        <f t="shared" si="14"/>
        <v>1157.4350000000002</v>
      </c>
      <c r="E92" s="29">
        <f t="shared" si="14"/>
        <v>1697.1399999999999</v>
      </c>
      <c r="F92" s="29">
        <f t="shared" si="14"/>
        <v>1905.34</v>
      </c>
      <c r="G92" s="29">
        <f t="shared" si="14"/>
        <v>2092.2350000000001</v>
      </c>
      <c r="H92" s="29">
        <f t="shared" si="14"/>
        <v>2669.2066666666669</v>
      </c>
      <c r="I92" s="29">
        <f t="shared" si="14"/>
        <v>550.63333333333333</v>
      </c>
      <c r="J92" s="29">
        <f t="shared" si="14"/>
        <v>2220.6799999999998</v>
      </c>
      <c r="K92" s="29">
        <f t="shared" si="14"/>
        <v>500.80000000000007</v>
      </c>
      <c r="L92" s="29">
        <f t="shared" si="14"/>
        <v>2068.17</v>
      </c>
    </row>
    <row r="94" spans="1:12" ht="14.4" x14ac:dyDescent="0.3">
      <c r="A94" s="20" t="s">
        <v>36</v>
      </c>
      <c r="B94" s="20"/>
      <c r="C94" s="30">
        <f>'Property 1'!$B13+'Property 1'!$B12+'Property 1'!$F6+'Property 1'!$F5*'Property 1'!$F2-'Property 1'!$F2</f>
        <v>134625</v>
      </c>
      <c r="D94" s="30">
        <f>'Property 2'!$B13+'Property 2'!$B12+'Property 2'!$F6+'Property 2'!$F5*'Property 2'!$F2-'Property 2'!$F2</f>
        <v>27368</v>
      </c>
      <c r="E94" s="30">
        <f>'Property 3'!$B13+'Property 3'!$B12+'Property 3'!$F6+'Property 3'!$F5*'Property 3'!$F2-'Property 3'!$F2</f>
        <v>3005</v>
      </c>
      <c r="F94" s="30">
        <f>'Property 4'!$B13+'Property 4'!$B12+'Property 4'!$F6+'Property 4'!$F5*'Property 4'!$F2-'Property 4'!$F2</f>
        <v>4055</v>
      </c>
      <c r="G94" s="30">
        <f>'Property 5'!$B13+'Property 5'!$B12+'Property 5'!$F6+'Property 5'!$F5*'Property 5'!$F2-'Property 5'!$F2</f>
        <v>4729</v>
      </c>
      <c r="H94" s="30">
        <f>'Property 6'!$B13+'Property 6'!$B12+'Property 6'!$F6+'Property 6'!$F5*'Property 6'!$F2-'Property 6'!$F2</f>
        <v>81543</v>
      </c>
      <c r="I94" s="30">
        <f>'Property 7'!$B13+'Property 7'!$B12+'Property 7'!$F6+'Property 7'!$F5*'Property 7'!$F2-'Property 7'!$F2</f>
        <v>133980</v>
      </c>
      <c r="J94" s="30">
        <f>'Property 8'!$B13+'Property 8'!$B12+'Property 8'!$F6+'Property 8'!$F5*'Property 8'!$F2-'Property 8'!$F2</f>
        <v>34205</v>
      </c>
      <c r="K94" s="30">
        <f>'Property 9'!$B13+'Property 9'!$B12+'Property 9'!$F6+'Property 9'!$F5*'Property 9'!$F2-'Property 9'!$F2</f>
        <v>3005</v>
      </c>
      <c r="L94" s="30">
        <f>'Property 10'!$B13+'Property 10'!$B12+'Property 10'!$F6+'Property 10'!$F5*'Property 10'!$F2-'Property 10'!$F2</f>
        <v>4130</v>
      </c>
    </row>
    <row r="95" spans="1:12" ht="14.4" x14ac:dyDescent="0.3">
      <c r="A95" s="20" t="s">
        <v>57</v>
      </c>
      <c r="C95" s="31">
        <f>'Property 1'!$B6</f>
        <v>0.05</v>
      </c>
      <c r="D95" s="31">
        <f>'Property 2'!$B6</f>
        <v>0.05</v>
      </c>
      <c r="E95" s="31">
        <f>'Property 3'!$B6</f>
        <v>0.08</v>
      </c>
      <c r="F95" s="31">
        <f>'Property 4'!$B6</f>
        <v>0.08</v>
      </c>
      <c r="G95" s="31">
        <f>'Property 5'!$B6</f>
        <v>0.08</v>
      </c>
      <c r="H95" s="31">
        <f>'Property 6'!$B6</f>
        <v>0.08</v>
      </c>
      <c r="I95" s="31">
        <f>'Property 7'!$B6</f>
        <v>0.05</v>
      </c>
      <c r="J95" s="31">
        <f>'Property 8'!$B6</f>
        <v>0.08</v>
      </c>
      <c r="K95" s="31">
        <f>'Property 9'!$B6</f>
        <v>0.08</v>
      </c>
      <c r="L95" s="31">
        <f>'Property 10'!$B6</f>
        <v>0.08</v>
      </c>
    </row>
    <row r="96" spans="1:12" ht="14.4" x14ac:dyDescent="0.3">
      <c r="A96" s="111" t="s">
        <v>72</v>
      </c>
      <c r="C96" s="31">
        <f>'Property 1'!$B7</f>
        <v>0.02</v>
      </c>
      <c r="D96" s="31">
        <f>'Property 2'!$B7</f>
        <v>0</v>
      </c>
      <c r="E96" s="31">
        <f>'Property 3'!$B7</f>
        <v>0.03</v>
      </c>
      <c r="F96" s="31">
        <f>'Property 4'!$B7</f>
        <v>0.03</v>
      </c>
      <c r="G96" s="31">
        <f>'Property 5'!$B7</f>
        <v>0.03</v>
      </c>
      <c r="H96" s="31">
        <f>'Property 6'!$B7</f>
        <v>0.03</v>
      </c>
      <c r="I96" s="31">
        <f>'Property 7'!$B7</f>
        <v>0.03</v>
      </c>
      <c r="J96" s="31">
        <f>'Property 8'!$B7</f>
        <v>0.03</v>
      </c>
      <c r="K96" s="31">
        <f>'Property 9'!$B7</f>
        <v>0.03</v>
      </c>
      <c r="L96" s="31">
        <f>'Property 10'!$B7</f>
        <v>0.03</v>
      </c>
    </row>
    <row r="97" spans="1:12" ht="14.4" x14ac:dyDescent="0.3">
      <c r="A97" s="111" t="s">
        <v>94</v>
      </c>
      <c r="C97" s="31">
        <f>'Property 1'!$B8</f>
        <v>1.4999999999999999E-2</v>
      </c>
      <c r="D97" s="31">
        <f>'Property 2'!$B8</f>
        <v>0</v>
      </c>
      <c r="E97" s="31">
        <f>'Property 3'!$B8</f>
        <v>0.02</v>
      </c>
      <c r="F97" s="31">
        <f>'Property 4'!$B8</f>
        <v>0.02</v>
      </c>
      <c r="G97" s="31">
        <f>'Property 5'!$B8</f>
        <v>0.02</v>
      </c>
      <c r="H97" s="31">
        <f>'Property 6'!$B8</f>
        <v>0.02</v>
      </c>
      <c r="I97" s="31">
        <f>'Property 7'!$B8</f>
        <v>0.02</v>
      </c>
      <c r="J97" s="31">
        <f>'Property 8'!$B8</f>
        <v>0.02</v>
      </c>
      <c r="K97" s="31">
        <f>'Property 9'!$B8</f>
        <v>0.02</v>
      </c>
      <c r="L97" s="31">
        <f>'Property 10'!$B8</f>
        <v>0.02</v>
      </c>
    </row>
    <row r="98" spans="1:12" ht="14.4" x14ac:dyDescent="0.3">
      <c r="A98" s="20" t="s">
        <v>95</v>
      </c>
      <c r="C98" s="31">
        <f>'Property 1'!$B9</f>
        <v>1.4999999999999999E-2</v>
      </c>
      <c r="D98" s="31">
        <f>'Property 2'!$B9</f>
        <v>0</v>
      </c>
      <c r="E98" s="31">
        <f>'Property 3'!$B9</f>
        <v>0.02</v>
      </c>
      <c r="F98" s="31">
        <f>'Property 4'!$B9</f>
        <v>0.02</v>
      </c>
      <c r="G98" s="31">
        <f>'Property 5'!$B9</f>
        <v>0.02</v>
      </c>
      <c r="H98" s="31">
        <f>'Property 6'!$B9</f>
        <v>0.02</v>
      </c>
      <c r="I98" s="31">
        <f>'Property 7'!$B9</f>
        <v>0.02</v>
      </c>
      <c r="J98" s="31">
        <f>'Property 8'!$B9</f>
        <v>0.02</v>
      </c>
      <c r="K98" s="31">
        <f>'Property 9'!$B9</f>
        <v>0.02</v>
      </c>
      <c r="L98" s="31">
        <f>'Property 10'!$B9</f>
        <v>0.02</v>
      </c>
    </row>
    <row r="99" spans="1:12" ht="14.4" x14ac:dyDescent="0.3">
      <c r="A99" s="20" t="s">
        <v>98</v>
      </c>
      <c r="C99" s="27">
        <f>'Property 1'!$B5</f>
        <v>10</v>
      </c>
      <c r="D99" s="27">
        <f>'Property 2'!$B5</f>
        <v>10</v>
      </c>
      <c r="E99" s="27">
        <f>'Property 3'!$B5</f>
        <v>10</v>
      </c>
      <c r="F99" s="27">
        <f>'Property 4'!$B5</f>
        <v>5</v>
      </c>
      <c r="G99" s="27">
        <f>'Property 5'!$B5</f>
        <v>0</v>
      </c>
      <c r="H99" s="27">
        <f>'Property 6'!$B5</f>
        <v>5</v>
      </c>
      <c r="I99" s="27">
        <f>'Property 7'!$B5</f>
        <v>0</v>
      </c>
      <c r="J99" s="27">
        <f>'Property 8'!$B5</f>
        <v>5</v>
      </c>
      <c r="K99" s="27">
        <f>'Property 9'!$B5</f>
        <v>0</v>
      </c>
      <c r="L99" s="27">
        <f>'Property 10'!$B5</f>
        <v>5</v>
      </c>
    </row>
    <row r="100" spans="1:12" ht="14.4" x14ac:dyDescent="0.3">
      <c r="A100" s="20" t="s">
        <v>58</v>
      </c>
      <c r="B100" s="32">
        <f>HLOOKUP(B$1,$C$64:$L$92,11)</f>
        <v>0.03</v>
      </c>
    </row>
    <row r="101" spans="1:12" ht="14.4" x14ac:dyDescent="0.3">
      <c r="A101" s="20" t="s">
        <v>59</v>
      </c>
      <c r="B101" s="33">
        <f>HLOOKUP(B$1,$C$64:$L$92,10)</f>
        <v>30</v>
      </c>
    </row>
    <row r="102" spans="1:12" ht="14.4" x14ac:dyDescent="0.3">
      <c r="A102" s="20" t="s">
        <v>60</v>
      </c>
      <c r="B102" s="16">
        <f>HLOOKUP(B$1,$C$64:$L$92,9)</f>
        <v>504000</v>
      </c>
    </row>
    <row r="103" spans="1:12" ht="14.4" x14ac:dyDescent="0.3">
      <c r="A103" s="20"/>
    </row>
  </sheetData>
  <pageMargins left="0.7" right="0.7" top="0.75" bottom="0.75" header="0.3" footer="0.3"/>
  <pageSetup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128"/>
  <sheetViews>
    <sheetView tabSelected="1" zoomScale="101" zoomScaleNormal="55" workbookViewId="0">
      <selection activeCell="B1" sqref="B1"/>
    </sheetView>
  </sheetViews>
  <sheetFormatPr defaultColWidth="9" defaultRowHeight="13.2" x14ac:dyDescent="0.25"/>
  <cols>
    <col min="1" max="1" width="23.5546875" style="124" customWidth="1"/>
    <col min="2" max="2" width="14.109375" style="124" customWidth="1"/>
    <col min="3" max="3" width="12.6640625" style="124" customWidth="1"/>
    <col min="4" max="4" width="13.5546875" style="124" customWidth="1"/>
    <col min="5" max="5" width="7.109375" style="124" customWidth="1"/>
    <col min="6" max="6" width="14.21875" style="124" customWidth="1"/>
    <col min="7" max="7" width="8.6640625" style="124" customWidth="1"/>
    <col min="8" max="8" width="12.6640625" style="124" customWidth="1"/>
    <col min="9" max="9" width="14.33203125" style="124" customWidth="1"/>
    <col min="10" max="10" width="12.6640625" style="124" customWidth="1"/>
    <col min="11" max="11" width="9.109375" style="124" customWidth="1"/>
    <col min="12" max="12" width="9.21875" style="124" customWidth="1"/>
    <col min="13" max="13" width="12.5546875" style="124" customWidth="1"/>
    <col min="14" max="14" width="20.21875" style="124" customWidth="1"/>
    <col min="15" max="15" width="15.5546875" style="124" customWidth="1"/>
    <col min="16" max="16" width="11.6640625" style="124" customWidth="1"/>
    <col min="17" max="16384" width="9" style="124"/>
  </cols>
  <sheetData>
    <row r="1" spans="1:33" ht="13.8" x14ac:dyDescent="0.3">
      <c r="A1" s="119" t="s">
        <v>15</v>
      </c>
      <c r="B1" s="35" t="s">
        <v>112</v>
      </c>
      <c r="C1" s="120"/>
      <c r="D1" s="121" t="s">
        <v>61</v>
      </c>
      <c r="E1" s="122"/>
      <c r="F1" s="123"/>
      <c r="H1" s="121" t="s">
        <v>62</v>
      </c>
      <c r="I1" s="125"/>
      <c r="J1" s="125"/>
      <c r="K1" s="125"/>
      <c r="L1" s="126"/>
    </row>
    <row r="2" spans="1:33" ht="13.8" x14ac:dyDescent="0.3">
      <c r="A2" s="127" t="s">
        <v>63</v>
      </c>
      <c r="B2" s="41" t="s">
        <v>113</v>
      </c>
      <c r="C2" s="120"/>
      <c r="D2" s="128" t="s">
        <v>64</v>
      </c>
      <c r="E2" s="129"/>
      <c r="F2" s="130">
        <f>B4*(B13+B12)</f>
        <v>504000</v>
      </c>
      <c r="H2" s="131" t="s">
        <v>53</v>
      </c>
      <c r="I2" s="132"/>
      <c r="J2" s="133">
        <f>IF(B4=0,"N/A",(B17/12-B33+B28)/B28)</f>
        <v>0.97673750988291086</v>
      </c>
      <c r="K2" s="47" t="s">
        <v>117</v>
      </c>
      <c r="L2" s="134"/>
      <c r="N2" s="135"/>
    </row>
    <row r="3" spans="1:33" ht="13.8" x14ac:dyDescent="0.3">
      <c r="A3" s="128" t="s">
        <v>65</v>
      </c>
      <c r="B3" s="136">
        <v>0</v>
      </c>
      <c r="C3" s="120"/>
      <c r="D3" s="128" t="s">
        <v>66</v>
      </c>
      <c r="E3" s="129"/>
      <c r="F3" s="215">
        <v>30</v>
      </c>
      <c r="H3" s="137" t="s">
        <v>69</v>
      </c>
      <c r="J3" s="138">
        <f>(((B17/12)-SUM(B20:B27)-SUM(B30:B32))*12)/(B12+B13)</f>
        <v>3.9532380952380951E-2</v>
      </c>
      <c r="K3" s="138"/>
      <c r="L3" s="139"/>
    </row>
    <row r="4" spans="1:33" ht="14.4" x14ac:dyDescent="0.3">
      <c r="A4" s="127" t="s">
        <v>67</v>
      </c>
      <c r="B4" s="140">
        <v>0.8</v>
      </c>
      <c r="C4" s="120"/>
      <c r="D4" s="127" t="s">
        <v>68</v>
      </c>
      <c r="E4" s="129"/>
      <c r="F4" s="141">
        <v>0.03</v>
      </c>
      <c r="H4" s="137" t="s">
        <v>0</v>
      </c>
      <c r="I4" s="142"/>
      <c r="J4" s="226">
        <f>(12*B34)/J6</f>
        <v>-4.4060167130919479E-3</v>
      </c>
      <c r="K4" s="143"/>
      <c r="L4" s="144"/>
      <c r="N4" s="145"/>
      <c r="O4" s="146"/>
      <c r="P4" s="147"/>
    </row>
    <row r="5" spans="1:33" ht="14.4" x14ac:dyDescent="0.3">
      <c r="A5" s="127" t="s">
        <v>70</v>
      </c>
      <c r="B5" s="148">
        <v>10</v>
      </c>
      <c r="C5" s="120"/>
      <c r="D5" s="127" t="s">
        <v>13</v>
      </c>
      <c r="E5" s="129"/>
      <c r="F5" s="149">
        <v>0</v>
      </c>
      <c r="H5" s="137" t="s">
        <v>73</v>
      </c>
      <c r="I5" s="150"/>
      <c r="J5" s="151">
        <f>(F2+CUMPRINC(F4/12,F3*12,F2,1,L5*12,0))/(B13*(1+B7)^L5)</f>
        <v>0.49890176752127474</v>
      </c>
      <c r="K5" s="120" t="s">
        <v>74</v>
      </c>
      <c r="L5" s="148">
        <f>B5</f>
        <v>10</v>
      </c>
      <c r="N5" s="145"/>
      <c r="P5" s="152"/>
      <c r="Q5" s="153">
        <f>ROUND((P7*B14*(1-B6))-(MAX(ROUND(C20*(P7*B14*(1-B6)),2),300)+ROUND(P7*B14*C21/E21,2)+(C22*B14/12)*(1-B6)+(C23*B14/12)*(1-B6)+(C24*B14)*(1-B6)+(C25*B14)*(1-B6)+C26*B14+F28/12-ROUND(PMT(F4/12,F3*12,B4*P6),2)+ROUND(C30/12,2)+ROUND(C31/12,2)+ROUND(C32/12,2)),0)</f>
        <v>-116</v>
      </c>
      <c r="R5" s="120">
        <f>B15/B14*0.5</f>
        <v>550</v>
      </c>
      <c r="S5" s="120">
        <f>R5+100</f>
        <v>650</v>
      </c>
      <c r="T5" s="120">
        <f t="shared" ref="T5:X5" si="0">S5+100</f>
        <v>750</v>
      </c>
      <c r="U5" s="120">
        <f t="shared" si="0"/>
        <v>850</v>
      </c>
      <c r="V5" s="120">
        <f t="shared" si="0"/>
        <v>950</v>
      </c>
      <c r="W5" s="120">
        <f t="shared" si="0"/>
        <v>1050</v>
      </c>
      <c r="X5" s="120">
        <f t="shared" si="0"/>
        <v>1150</v>
      </c>
      <c r="AA5" s="154">
        <f t="shared" ref="AA5:AG15" si="1">R5</f>
        <v>550</v>
      </c>
      <c r="AB5" s="154">
        <f t="shared" si="1"/>
        <v>650</v>
      </c>
      <c r="AC5" s="154">
        <f t="shared" si="1"/>
        <v>750</v>
      </c>
      <c r="AD5" s="154">
        <f t="shared" si="1"/>
        <v>850</v>
      </c>
      <c r="AE5" s="154">
        <f t="shared" si="1"/>
        <v>950</v>
      </c>
      <c r="AF5" s="154">
        <f t="shared" si="1"/>
        <v>1050</v>
      </c>
      <c r="AG5" s="154">
        <f t="shared" si="1"/>
        <v>1150</v>
      </c>
    </row>
    <row r="6" spans="1:33" ht="14.4" x14ac:dyDescent="0.3">
      <c r="A6" s="127" t="s">
        <v>71</v>
      </c>
      <c r="B6" s="155">
        <v>0.05</v>
      </c>
      <c r="C6" s="120"/>
      <c r="D6" s="156" t="s">
        <v>52</v>
      </c>
      <c r="E6" s="157"/>
      <c r="F6" s="158">
        <f>SUM(J20:J33)</f>
        <v>8625</v>
      </c>
      <c r="H6" s="55" t="s">
        <v>114</v>
      </c>
      <c r="I6" s="150"/>
      <c r="J6" s="227">
        <f>(B12+B13)-F2+F6+F5*F2-F9</f>
        <v>134625</v>
      </c>
      <c r="K6" s="143"/>
      <c r="L6" s="159"/>
      <c r="N6" s="145"/>
      <c r="P6" s="152">
        <v>200000</v>
      </c>
      <c r="Q6" s="153">
        <f>ROUND(0.8*B11,-3)</f>
        <v>504000</v>
      </c>
      <c r="R6" s="120">
        <f t="dataTable" ref="R6:X15" dt2D="1" dtr="1" r1="P7" r2="P6"/>
        <v>-1505</v>
      </c>
      <c r="S6" s="120">
        <v>-1142</v>
      </c>
      <c r="T6" s="120">
        <v>-778</v>
      </c>
      <c r="U6" s="120">
        <v>-438</v>
      </c>
      <c r="V6" s="120">
        <v>-113</v>
      </c>
      <c r="W6" s="120">
        <v>213</v>
      </c>
      <c r="X6" s="120">
        <v>538</v>
      </c>
      <c r="Z6" s="124">
        <f>Q6/1000</f>
        <v>504</v>
      </c>
      <c r="AA6" s="124">
        <f t="shared" si="1"/>
        <v>-1505</v>
      </c>
      <c r="AB6" s="124">
        <f t="shared" si="1"/>
        <v>-1142</v>
      </c>
      <c r="AC6" s="124">
        <f t="shared" si="1"/>
        <v>-778</v>
      </c>
      <c r="AD6" s="124">
        <f t="shared" si="1"/>
        <v>-438</v>
      </c>
      <c r="AE6" s="124">
        <f t="shared" si="1"/>
        <v>-113</v>
      </c>
      <c r="AF6" s="124">
        <f t="shared" si="1"/>
        <v>213</v>
      </c>
      <c r="AG6" s="124">
        <f t="shared" si="1"/>
        <v>538</v>
      </c>
    </row>
    <row r="7" spans="1:33" ht="14.4" x14ac:dyDescent="0.3">
      <c r="A7" s="127" t="s">
        <v>72</v>
      </c>
      <c r="B7" s="213">
        <v>0.02</v>
      </c>
      <c r="C7" s="120"/>
      <c r="D7" s="120"/>
      <c r="E7" s="129"/>
      <c r="F7" s="160"/>
      <c r="H7" s="137"/>
      <c r="I7" s="142"/>
      <c r="L7" s="161"/>
      <c r="N7" s="162"/>
      <c r="P7" s="152">
        <v>650</v>
      </c>
      <c r="Q7" s="153">
        <f>Q6+10000</f>
        <v>514000</v>
      </c>
      <c r="R7" s="120">
        <v>-1539</v>
      </c>
      <c r="S7" s="120">
        <v>-1175</v>
      </c>
      <c r="T7" s="120">
        <v>-812</v>
      </c>
      <c r="U7" s="120">
        <v>-472</v>
      </c>
      <c r="V7" s="120">
        <v>-146</v>
      </c>
      <c r="W7" s="120">
        <v>179</v>
      </c>
      <c r="X7" s="120">
        <v>505</v>
      </c>
      <c r="Z7" s="124">
        <f t="shared" ref="Z7:Z15" si="2">Q7/1000</f>
        <v>514</v>
      </c>
      <c r="AA7" s="124">
        <f t="shared" si="1"/>
        <v>-1539</v>
      </c>
      <c r="AB7" s="124">
        <f t="shared" si="1"/>
        <v>-1175</v>
      </c>
      <c r="AC7" s="124">
        <f t="shared" si="1"/>
        <v>-812</v>
      </c>
      <c r="AD7" s="124">
        <f t="shared" si="1"/>
        <v>-472</v>
      </c>
      <c r="AE7" s="124">
        <f t="shared" si="1"/>
        <v>-146</v>
      </c>
      <c r="AF7" s="124">
        <f t="shared" si="1"/>
        <v>179</v>
      </c>
      <c r="AG7" s="124">
        <f t="shared" si="1"/>
        <v>505</v>
      </c>
    </row>
    <row r="8" spans="1:33" ht="14.4" x14ac:dyDescent="0.3">
      <c r="A8" s="127" t="s">
        <v>94</v>
      </c>
      <c r="B8" s="213">
        <v>1.4999999999999999E-2</v>
      </c>
      <c r="C8" s="120"/>
      <c r="D8" s="228" t="s">
        <v>115</v>
      </c>
      <c r="E8" s="229"/>
      <c r="F8" s="230"/>
      <c r="H8" s="137"/>
      <c r="I8" s="142"/>
      <c r="J8" s="163"/>
      <c r="K8" s="120"/>
      <c r="L8" s="144"/>
      <c r="N8" s="145"/>
      <c r="P8" s="152"/>
      <c r="Q8" s="153">
        <f t="shared" ref="Q8:Q15" si="3">Q7+10000</f>
        <v>524000</v>
      </c>
      <c r="R8" s="120">
        <v>-1573</v>
      </c>
      <c r="S8" s="120">
        <v>-1209</v>
      </c>
      <c r="T8" s="120">
        <v>-846</v>
      </c>
      <c r="U8" s="120">
        <v>-505</v>
      </c>
      <c r="V8" s="120">
        <v>-180</v>
      </c>
      <c r="W8" s="120">
        <v>145</v>
      </c>
      <c r="X8" s="120">
        <v>471</v>
      </c>
      <c r="Z8" s="124">
        <f t="shared" si="2"/>
        <v>524</v>
      </c>
      <c r="AA8" s="124">
        <f t="shared" si="1"/>
        <v>-1573</v>
      </c>
      <c r="AB8" s="124">
        <f t="shared" si="1"/>
        <v>-1209</v>
      </c>
      <c r="AC8" s="124">
        <f t="shared" si="1"/>
        <v>-846</v>
      </c>
      <c r="AD8" s="124">
        <f t="shared" si="1"/>
        <v>-505</v>
      </c>
      <c r="AE8" s="124">
        <f t="shared" si="1"/>
        <v>-180</v>
      </c>
      <c r="AF8" s="124">
        <f t="shared" si="1"/>
        <v>145</v>
      </c>
      <c r="AG8" s="124">
        <f t="shared" si="1"/>
        <v>471</v>
      </c>
    </row>
    <row r="9" spans="1:33" ht="14.4" x14ac:dyDescent="0.3">
      <c r="A9" s="156" t="s">
        <v>95</v>
      </c>
      <c r="B9" s="214">
        <v>1.4999999999999999E-2</v>
      </c>
      <c r="C9" s="120"/>
      <c r="D9" s="231" t="s">
        <v>64</v>
      </c>
      <c r="E9" s="232"/>
      <c r="F9" s="233">
        <v>0</v>
      </c>
      <c r="H9" s="137"/>
      <c r="I9" s="142"/>
      <c r="J9" s="164"/>
      <c r="K9" s="129"/>
      <c r="L9" s="165"/>
      <c r="P9" s="152"/>
      <c r="Q9" s="153">
        <f t="shared" si="3"/>
        <v>534000</v>
      </c>
      <c r="R9" s="120">
        <v>-1606</v>
      </c>
      <c r="S9" s="120">
        <v>-1243</v>
      </c>
      <c r="T9" s="120">
        <v>-880</v>
      </c>
      <c r="U9" s="120">
        <v>-539</v>
      </c>
      <c r="V9" s="120">
        <v>-214</v>
      </c>
      <c r="W9" s="120">
        <v>112</v>
      </c>
      <c r="X9" s="120">
        <v>437</v>
      </c>
      <c r="Z9" s="124">
        <f t="shared" si="2"/>
        <v>534</v>
      </c>
      <c r="AA9" s="124">
        <f t="shared" si="1"/>
        <v>-1606</v>
      </c>
      <c r="AB9" s="124">
        <f t="shared" si="1"/>
        <v>-1243</v>
      </c>
      <c r="AC9" s="124">
        <f t="shared" si="1"/>
        <v>-880</v>
      </c>
      <c r="AD9" s="124">
        <f t="shared" si="1"/>
        <v>-539</v>
      </c>
      <c r="AE9" s="124">
        <f t="shared" si="1"/>
        <v>-214</v>
      </c>
      <c r="AF9" s="124">
        <f t="shared" si="1"/>
        <v>112</v>
      </c>
      <c r="AG9" s="124">
        <f t="shared" si="1"/>
        <v>437</v>
      </c>
    </row>
    <row r="10" spans="1:33" ht="14.4" x14ac:dyDescent="0.3">
      <c r="A10" s="120"/>
      <c r="B10" s="120"/>
      <c r="C10" s="120"/>
      <c r="D10" s="231" t="s">
        <v>66</v>
      </c>
      <c r="E10" s="232"/>
      <c r="F10" s="234">
        <v>10</v>
      </c>
      <c r="H10" s="166"/>
      <c r="I10" s="167"/>
      <c r="J10" s="168"/>
      <c r="K10" s="169"/>
      <c r="L10" s="170"/>
      <c r="O10" s="171"/>
      <c r="P10" s="152"/>
      <c r="Q10" s="153">
        <f t="shared" si="3"/>
        <v>544000</v>
      </c>
      <c r="R10" s="120">
        <v>-1640</v>
      </c>
      <c r="S10" s="120">
        <v>-1277</v>
      </c>
      <c r="T10" s="120">
        <v>-913</v>
      </c>
      <c r="U10" s="120">
        <v>-573</v>
      </c>
      <c r="V10" s="120">
        <v>-247</v>
      </c>
      <c r="W10" s="120">
        <v>78</v>
      </c>
      <c r="X10" s="120">
        <v>403</v>
      </c>
      <c r="Z10" s="124">
        <f t="shared" si="2"/>
        <v>544</v>
      </c>
      <c r="AA10" s="124">
        <f t="shared" si="1"/>
        <v>-1640</v>
      </c>
      <c r="AB10" s="124">
        <f t="shared" si="1"/>
        <v>-1277</v>
      </c>
      <c r="AC10" s="124">
        <f t="shared" si="1"/>
        <v>-913</v>
      </c>
      <c r="AD10" s="124">
        <f t="shared" si="1"/>
        <v>-573</v>
      </c>
      <c r="AE10" s="124">
        <f t="shared" si="1"/>
        <v>-247</v>
      </c>
      <c r="AF10" s="124">
        <f t="shared" si="1"/>
        <v>78</v>
      </c>
      <c r="AG10" s="124">
        <f t="shared" si="1"/>
        <v>403</v>
      </c>
    </row>
    <row r="11" spans="1:33" ht="13.8" x14ac:dyDescent="0.3">
      <c r="A11" s="119" t="s">
        <v>75</v>
      </c>
      <c r="B11" s="172">
        <v>629900</v>
      </c>
      <c r="C11" s="173"/>
      <c r="D11" s="235" t="s">
        <v>68</v>
      </c>
      <c r="E11" s="232"/>
      <c r="F11" s="236">
        <v>0.1</v>
      </c>
      <c r="K11" s="129"/>
      <c r="L11" s="129"/>
      <c r="P11" s="120"/>
      <c r="Q11" s="153">
        <f t="shared" si="3"/>
        <v>554000</v>
      </c>
      <c r="R11" s="120">
        <v>-1674</v>
      </c>
      <c r="S11" s="120">
        <v>-1310</v>
      </c>
      <c r="T11" s="120">
        <v>-947</v>
      </c>
      <c r="U11" s="120">
        <v>-607</v>
      </c>
      <c r="V11" s="120">
        <v>-281</v>
      </c>
      <c r="W11" s="120">
        <v>44</v>
      </c>
      <c r="X11" s="120">
        <v>370</v>
      </c>
      <c r="Z11" s="124">
        <f t="shared" si="2"/>
        <v>554</v>
      </c>
      <c r="AA11" s="124">
        <f t="shared" si="1"/>
        <v>-1674</v>
      </c>
      <c r="AB11" s="124">
        <f t="shared" si="1"/>
        <v>-1310</v>
      </c>
      <c r="AC11" s="124">
        <f t="shared" si="1"/>
        <v>-947</v>
      </c>
      <c r="AD11" s="124">
        <f t="shared" si="1"/>
        <v>-607</v>
      </c>
      <c r="AE11" s="124">
        <f t="shared" si="1"/>
        <v>-281</v>
      </c>
      <c r="AF11" s="124">
        <f t="shared" si="1"/>
        <v>44</v>
      </c>
      <c r="AG11" s="124">
        <f t="shared" si="1"/>
        <v>370</v>
      </c>
    </row>
    <row r="12" spans="1:33" ht="13.8" x14ac:dyDescent="0.3">
      <c r="A12" s="127" t="s">
        <v>97</v>
      </c>
      <c r="B12" s="174"/>
      <c r="C12" s="173"/>
      <c r="D12" s="235" t="s">
        <v>13</v>
      </c>
      <c r="E12" s="232"/>
      <c r="F12" s="237">
        <v>0</v>
      </c>
      <c r="P12" s="120"/>
      <c r="Q12" s="153">
        <f t="shared" si="3"/>
        <v>564000</v>
      </c>
      <c r="R12" s="120">
        <v>-1708</v>
      </c>
      <c r="S12" s="120">
        <v>-1344</v>
      </c>
      <c r="T12" s="120">
        <v>-981</v>
      </c>
      <c r="U12" s="120">
        <v>-640</v>
      </c>
      <c r="V12" s="120">
        <v>-315</v>
      </c>
      <c r="W12" s="120">
        <v>10</v>
      </c>
      <c r="X12" s="120">
        <v>336</v>
      </c>
      <c r="Z12" s="124">
        <f t="shared" si="2"/>
        <v>564</v>
      </c>
      <c r="AA12" s="124">
        <f t="shared" si="1"/>
        <v>-1708</v>
      </c>
      <c r="AB12" s="124">
        <f t="shared" si="1"/>
        <v>-1344</v>
      </c>
      <c r="AC12" s="124">
        <f t="shared" si="1"/>
        <v>-981</v>
      </c>
      <c r="AD12" s="124">
        <f t="shared" si="1"/>
        <v>-640</v>
      </c>
      <c r="AE12" s="124">
        <f t="shared" si="1"/>
        <v>-315</v>
      </c>
      <c r="AF12" s="124">
        <f t="shared" si="1"/>
        <v>10</v>
      </c>
      <c r="AG12" s="124">
        <f t="shared" si="1"/>
        <v>336</v>
      </c>
    </row>
    <row r="13" spans="1:33" ht="13.8" x14ac:dyDescent="0.3">
      <c r="A13" s="127" t="s">
        <v>76</v>
      </c>
      <c r="B13" s="175">
        <v>630000</v>
      </c>
      <c r="D13" s="238" t="s">
        <v>52</v>
      </c>
      <c r="E13" s="239"/>
      <c r="F13" s="240">
        <v>0</v>
      </c>
      <c r="P13" s="120"/>
      <c r="Q13" s="153">
        <f t="shared" si="3"/>
        <v>574000</v>
      </c>
      <c r="R13" s="120">
        <v>-1741</v>
      </c>
      <c r="S13" s="120">
        <v>-1378</v>
      </c>
      <c r="T13" s="120">
        <v>-1014</v>
      </c>
      <c r="U13" s="120">
        <v>-674</v>
      </c>
      <c r="V13" s="120">
        <v>-349</v>
      </c>
      <c r="W13" s="120">
        <v>-23</v>
      </c>
      <c r="X13" s="120">
        <v>302</v>
      </c>
      <c r="Z13" s="124">
        <f t="shared" si="2"/>
        <v>574</v>
      </c>
      <c r="AA13" s="124">
        <f t="shared" si="1"/>
        <v>-1741</v>
      </c>
      <c r="AB13" s="124">
        <f t="shared" si="1"/>
        <v>-1378</v>
      </c>
      <c r="AC13" s="124">
        <f t="shared" si="1"/>
        <v>-1014</v>
      </c>
      <c r="AD13" s="124">
        <f t="shared" si="1"/>
        <v>-674</v>
      </c>
      <c r="AE13" s="124">
        <f t="shared" si="1"/>
        <v>-349</v>
      </c>
      <c r="AF13" s="124">
        <f t="shared" si="1"/>
        <v>-23</v>
      </c>
      <c r="AG13" s="124">
        <f t="shared" si="1"/>
        <v>302</v>
      </c>
    </row>
    <row r="14" spans="1:33" ht="13.8" x14ac:dyDescent="0.3">
      <c r="A14" s="127" t="s">
        <v>45</v>
      </c>
      <c r="B14" s="176">
        <v>4</v>
      </c>
      <c r="C14" s="177" t="str">
        <f>IF(COUNT(M23:M122)=B14,IF(B15&lt;B14*L19,"Total Rent Seems Low - Check Assumptions",""),"Enter Rent For All Units")</f>
        <v/>
      </c>
      <c r="D14" s="120"/>
      <c r="E14" s="120"/>
      <c r="P14" s="120"/>
      <c r="Q14" s="153">
        <f t="shared" si="3"/>
        <v>584000</v>
      </c>
      <c r="R14" s="120">
        <v>-1775</v>
      </c>
      <c r="S14" s="120">
        <v>-1412</v>
      </c>
      <c r="T14" s="120">
        <v>-1048</v>
      </c>
      <c r="U14" s="120">
        <v>-708</v>
      </c>
      <c r="V14" s="120">
        <v>-382</v>
      </c>
      <c r="W14" s="120">
        <v>-57</v>
      </c>
      <c r="X14" s="120">
        <v>268</v>
      </c>
      <c r="Z14" s="124">
        <f t="shared" si="2"/>
        <v>584</v>
      </c>
      <c r="AA14" s="124">
        <f t="shared" si="1"/>
        <v>-1775</v>
      </c>
      <c r="AB14" s="124">
        <f t="shared" si="1"/>
        <v>-1412</v>
      </c>
      <c r="AC14" s="124">
        <f t="shared" si="1"/>
        <v>-1048</v>
      </c>
      <c r="AD14" s="124">
        <f t="shared" si="1"/>
        <v>-708</v>
      </c>
      <c r="AE14" s="124">
        <f t="shared" si="1"/>
        <v>-382</v>
      </c>
      <c r="AF14" s="124">
        <f t="shared" si="1"/>
        <v>-57</v>
      </c>
      <c r="AG14" s="124">
        <f t="shared" si="1"/>
        <v>268</v>
      </c>
    </row>
    <row r="15" spans="1:33" ht="13.8" x14ac:dyDescent="0.3">
      <c r="A15" s="127" t="s">
        <v>77</v>
      </c>
      <c r="B15" s="178">
        <f>L21</f>
        <v>4400</v>
      </c>
      <c r="P15" s="120"/>
      <c r="Q15" s="153">
        <f t="shared" si="3"/>
        <v>594000</v>
      </c>
      <c r="R15" s="120">
        <v>-1809</v>
      </c>
      <c r="S15" s="120">
        <v>-1445</v>
      </c>
      <c r="T15" s="120">
        <v>-1082</v>
      </c>
      <c r="U15" s="120">
        <v>-742</v>
      </c>
      <c r="V15" s="120">
        <v>-416</v>
      </c>
      <c r="W15" s="120">
        <v>-91</v>
      </c>
      <c r="X15" s="120">
        <v>235</v>
      </c>
      <c r="Z15" s="124">
        <f t="shared" si="2"/>
        <v>594</v>
      </c>
      <c r="AA15" s="124">
        <f t="shared" si="1"/>
        <v>-1809</v>
      </c>
      <c r="AB15" s="124">
        <f t="shared" si="1"/>
        <v>-1445</v>
      </c>
      <c r="AC15" s="124">
        <f t="shared" si="1"/>
        <v>-1082</v>
      </c>
      <c r="AD15" s="124">
        <f t="shared" si="1"/>
        <v>-742</v>
      </c>
      <c r="AE15" s="124">
        <f t="shared" si="1"/>
        <v>-416</v>
      </c>
      <c r="AF15" s="124">
        <f t="shared" si="1"/>
        <v>-91</v>
      </c>
      <c r="AG15" s="124">
        <f t="shared" si="1"/>
        <v>235</v>
      </c>
    </row>
    <row r="16" spans="1:33" ht="13.8" x14ac:dyDescent="0.3">
      <c r="A16" s="127" t="s">
        <v>78</v>
      </c>
      <c r="B16" s="179">
        <f>B15*12</f>
        <v>52800</v>
      </c>
      <c r="C16" s="127"/>
      <c r="D16" s="120"/>
      <c r="E16" s="120"/>
    </row>
    <row r="17" spans="1:20" ht="13.8" x14ac:dyDescent="0.3">
      <c r="A17" s="156" t="str">
        <f>"Annual Revenue ("&amp;TEXT(B6,"0%")&amp;" vacancy)"</f>
        <v>Annual Revenue (5% vacancy)</v>
      </c>
      <c r="B17" s="180">
        <f>B16*(1-B6)</f>
        <v>50160</v>
      </c>
      <c r="C17" s="120"/>
      <c r="D17" s="120"/>
      <c r="E17" s="120"/>
    </row>
    <row r="18" spans="1:20" ht="13.8" x14ac:dyDescent="0.3">
      <c r="A18" s="120"/>
      <c r="B18" s="120"/>
      <c r="C18" s="120"/>
      <c r="D18" s="120"/>
      <c r="E18" s="120"/>
    </row>
    <row r="19" spans="1:20" ht="14.4" x14ac:dyDescent="0.3">
      <c r="A19" s="169" t="s">
        <v>79</v>
      </c>
      <c r="B19" s="120"/>
      <c r="C19" s="120"/>
      <c r="D19" s="120"/>
      <c r="E19" s="120"/>
      <c r="F19" s="120"/>
      <c r="G19" s="120"/>
      <c r="H19" s="181"/>
      <c r="I19" s="220" t="s">
        <v>1</v>
      </c>
      <c r="J19" s="221"/>
      <c r="L19" s="182">
        <v>750</v>
      </c>
      <c r="M19" s="183" t="s">
        <v>80</v>
      </c>
      <c r="N19" s="184"/>
    </row>
    <row r="20" spans="1:20" ht="13.8" x14ac:dyDescent="0.3">
      <c r="A20" s="120" t="s">
        <v>23</v>
      </c>
      <c r="B20" s="185">
        <f>MAX(ROUND(C20*(B17/12),2),E20)</f>
        <v>418</v>
      </c>
      <c r="C20" s="186">
        <v>0.1</v>
      </c>
      <c r="D20" s="120" t="s">
        <v>81</v>
      </c>
      <c r="E20" s="187">
        <v>200</v>
      </c>
      <c r="F20" s="153" t="s">
        <v>109</v>
      </c>
      <c r="G20" s="120"/>
      <c r="H20" s="120"/>
      <c r="I20" s="127" t="s">
        <v>2</v>
      </c>
      <c r="J20" s="188">
        <v>750</v>
      </c>
      <c r="L20" s="189"/>
      <c r="N20" s="161"/>
    </row>
    <row r="21" spans="1:20" ht="14.4" x14ac:dyDescent="0.3">
      <c r="A21" s="120" t="s">
        <v>24</v>
      </c>
      <c r="B21" s="185">
        <f>ROUND(B15*C21/E21,2)</f>
        <v>182.6</v>
      </c>
      <c r="C21" s="186">
        <v>8.3000000000000004E-2</v>
      </c>
      <c r="D21" s="120" t="s">
        <v>82</v>
      </c>
      <c r="E21" s="176">
        <v>2</v>
      </c>
      <c r="F21" s="120" t="s">
        <v>83</v>
      </c>
      <c r="G21" s="120"/>
      <c r="H21" s="120"/>
      <c r="I21" s="127" t="s">
        <v>3</v>
      </c>
      <c r="J21" s="175">
        <v>500</v>
      </c>
      <c r="L21" s="190">
        <f>SUM(M23:M122)</f>
        <v>4400</v>
      </c>
      <c r="M21" s="191" t="s">
        <v>84</v>
      </c>
      <c r="N21" s="161"/>
      <c r="T21" s="192"/>
    </row>
    <row r="22" spans="1:20" ht="13.8" x14ac:dyDescent="0.3">
      <c r="A22" s="120" t="s">
        <v>25</v>
      </c>
      <c r="B22" s="185">
        <f>(C22*B14/12)*(1-B6)</f>
        <v>95</v>
      </c>
      <c r="C22" s="193">
        <v>300</v>
      </c>
      <c r="D22" s="120" t="s">
        <v>85</v>
      </c>
      <c r="E22" s="120"/>
      <c r="F22" s="120"/>
      <c r="G22" s="120"/>
      <c r="H22" s="120" t="s">
        <v>4</v>
      </c>
      <c r="I22" s="127" t="s">
        <v>5</v>
      </c>
      <c r="J22" s="175">
        <v>500</v>
      </c>
      <c r="L22" s="194" t="s">
        <v>86</v>
      </c>
      <c r="M22" s="195" t="s">
        <v>87</v>
      </c>
      <c r="N22" s="161"/>
      <c r="T22" s="196"/>
    </row>
    <row r="23" spans="1:20" ht="14.4" x14ac:dyDescent="0.3">
      <c r="A23" s="120" t="s">
        <v>26</v>
      </c>
      <c r="B23" s="185">
        <f>(C23*B14/12)*(1-B6)</f>
        <v>0</v>
      </c>
      <c r="C23" s="193">
        <v>0</v>
      </c>
      <c r="D23" s="120" t="s">
        <v>85</v>
      </c>
      <c r="E23" s="120"/>
      <c r="F23" s="120"/>
      <c r="G23" s="120"/>
      <c r="H23" s="197">
        <v>7.4999999999999997E-3</v>
      </c>
      <c r="I23" s="127" t="s">
        <v>6</v>
      </c>
      <c r="J23" s="178">
        <f>ROUND(H23*B13, 0)</f>
        <v>4725</v>
      </c>
      <c r="L23" s="194">
        <v>1</v>
      </c>
      <c r="M23" s="218">
        <v>1100</v>
      </c>
      <c r="N23" s="161"/>
      <c r="T23" s="196"/>
    </row>
    <row r="24" spans="1:20" ht="14.4" x14ac:dyDescent="0.3">
      <c r="A24" s="120" t="s">
        <v>27</v>
      </c>
      <c r="B24" s="185">
        <f>(C24*B14)*(1-B6)</f>
        <v>15.2</v>
      </c>
      <c r="C24" s="193">
        <v>4</v>
      </c>
      <c r="D24" s="120" t="s">
        <v>88</v>
      </c>
      <c r="E24" s="120"/>
      <c r="F24" s="120"/>
      <c r="G24" s="120"/>
      <c r="H24" s="120"/>
      <c r="I24" s="127" t="s">
        <v>7</v>
      </c>
      <c r="J24" s="175">
        <v>1000</v>
      </c>
      <c r="L24" s="194">
        <f>L23+1</f>
        <v>2</v>
      </c>
      <c r="M24" s="218">
        <v>1100</v>
      </c>
      <c r="N24" s="161"/>
      <c r="T24" s="196"/>
    </row>
    <row r="25" spans="1:20" ht="14.4" x14ac:dyDescent="0.3">
      <c r="A25" s="120" t="s">
        <v>28</v>
      </c>
      <c r="B25" s="185">
        <f>(C25*B14)*(1-B6)</f>
        <v>0</v>
      </c>
      <c r="C25" s="193">
        <v>0</v>
      </c>
      <c r="D25" s="120" t="s">
        <v>88</v>
      </c>
      <c r="E25" s="120"/>
      <c r="F25" s="120"/>
      <c r="G25" s="120"/>
      <c r="H25" s="120"/>
      <c r="I25" s="127" t="s">
        <v>8</v>
      </c>
      <c r="J25" s="175">
        <v>1000</v>
      </c>
      <c r="L25" s="194">
        <f>L24+1</f>
        <v>3</v>
      </c>
      <c r="M25" s="218">
        <v>1100</v>
      </c>
      <c r="N25" s="161"/>
      <c r="T25" s="196"/>
    </row>
    <row r="26" spans="1:20" ht="14.4" x14ac:dyDescent="0.3">
      <c r="A26" s="120" t="s">
        <v>29</v>
      </c>
      <c r="B26" s="185">
        <f>C26*B14</f>
        <v>0</v>
      </c>
      <c r="C26" s="193">
        <v>0</v>
      </c>
      <c r="D26" s="120" t="s">
        <v>88</v>
      </c>
      <c r="E26" s="120"/>
      <c r="F26" s="120"/>
      <c r="G26" s="120"/>
      <c r="H26" s="120"/>
      <c r="I26" s="127" t="s">
        <v>9</v>
      </c>
      <c r="J26" s="175">
        <v>100</v>
      </c>
      <c r="L26" s="194">
        <f t="shared" ref="L26:L89" si="4">L25+1</f>
        <v>4</v>
      </c>
      <c r="M26" s="218">
        <v>1100</v>
      </c>
      <c r="N26" s="161"/>
      <c r="T26" s="196"/>
    </row>
    <row r="27" spans="1:20" ht="14.4" x14ac:dyDescent="0.3">
      <c r="A27" s="120" t="s">
        <v>30</v>
      </c>
      <c r="B27" s="185">
        <f>F28/12</f>
        <v>393.75</v>
      </c>
      <c r="C27" s="198">
        <f>F27*B13/B14</f>
        <v>1181.25</v>
      </c>
      <c r="D27" s="120" t="s">
        <v>85</v>
      </c>
      <c r="E27" s="120"/>
      <c r="F27" s="199">
        <v>7.4999999999999997E-3</v>
      </c>
      <c r="G27" s="120" t="s">
        <v>89</v>
      </c>
      <c r="H27" s="120"/>
      <c r="I27" s="127" t="s">
        <v>10</v>
      </c>
      <c r="J27" s="175">
        <v>50</v>
      </c>
      <c r="L27" s="194">
        <f t="shared" si="4"/>
        <v>5</v>
      </c>
      <c r="M27" s="218"/>
      <c r="N27" s="161"/>
      <c r="T27" s="196"/>
    </row>
    <row r="28" spans="1:20" ht="14.4" x14ac:dyDescent="0.3">
      <c r="A28" s="120" t="s">
        <v>55</v>
      </c>
      <c r="B28" s="225">
        <f>-ROUND(PMT(F4/12,F3*12,F2),2)</f>
        <v>2124.88</v>
      </c>
      <c r="C28" s="120"/>
      <c r="D28" s="120"/>
      <c r="E28" s="120"/>
      <c r="F28" s="198">
        <f>F27*B13</f>
        <v>4725</v>
      </c>
      <c r="G28" s="120" t="s">
        <v>90</v>
      </c>
      <c r="H28" s="120"/>
      <c r="I28" s="127" t="s">
        <v>11</v>
      </c>
      <c r="J28" s="175">
        <v>0</v>
      </c>
      <c r="L28" s="194">
        <f t="shared" si="4"/>
        <v>6</v>
      </c>
      <c r="M28" s="218"/>
      <c r="N28" s="161"/>
    </row>
    <row r="29" spans="1:20" ht="14.4" x14ac:dyDescent="0.3">
      <c r="A29" s="241" t="s">
        <v>116</v>
      </c>
      <c r="B29" s="242">
        <f>-ROUND(PMT(F11/12,F10*12,F9),2)</f>
        <v>0</v>
      </c>
      <c r="F29" s="120"/>
      <c r="G29" s="120"/>
      <c r="H29" s="120"/>
      <c r="I29" s="4" t="s">
        <v>93</v>
      </c>
      <c r="J29" s="216"/>
      <c r="L29" s="194">
        <f t="shared" si="4"/>
        <v>7</v>
      </c>
      <c r="M29" s="218"/>
      <c r="N29" s="161"/>
    </row>
    <row r="30" spans="1:20" ht="14.4" x14ac:dyDescent="0.3">
      <c r="A30" s="120" t="s">
        <v>32</v>
      </c>
      <c r="B30" s="185">
        <f>ROUND(C30/12,2)</f>
        <v>333.33</v>
      </c>
      <c r="C30" s="193">
        <v>4000</v>
      </c>
      <c r="D30" s="120" t="s">
        <v>91</v>
      </c>
      <c r="E30" s="120"/>
      <c r="F30" s="120"/>
      <c r="G30" s="120"/>
      <c r="H30" s="120"/>
      <c r="I30" s="127" t="s">
        <v>93</v>
      </c>
      <c r="J30" s="216"/>
      <c r="L30" s="194">
        <f t="shared" si="4"/>
        <v>8</v>
      </c>
      <c r="M30" s="218"/>
      <c r="N30" s="161"/>
    </row>
    <row r="31" spans="1:20" ht="14.4" x14ac:dyDescent="0.3">
      <c r="A31" s="120" t="s">
        <v>33</v>
      </c>
      <c r="B31" s="185">
        <f>ROUND(C31/12,2)</f>
        <v>0</v>
      </c>
      <c r="C31" s="193">
        <v>0</v>
      </c>
      <c r="D31" s="120" t="s">
        <v>91</v>
      </c>
      <c r="E31" s="120"/>
      <c r="F31" s="120"/>
      <c r="G31" s="120"/>
      <c r="H31" s="120"/>
      <c r="I31" s="127" t="s">
        <v>93</v>
      </c>
      <c r="J31" s="216"/>
      <c r="L31" s="194">
        <f t="shared" si="4"/>
        <v>9</v>
      </c>
      <c r="M31" s="218"/>
      <c r="N31" s="161"/>
    </row>
    <row r="32" spans="1:20" ht="14.4" x14ac:dyDescent="0.3">
      <c r="A32" s="120" t="s">
        <v>34</v>
      </c>
      <c r="B32" s="200">
        <f>ROUND(C32/12,2)</f>
        <v>666.67</v>
      </c>
      <c r="C32" s="193">
        <v>8000</v>
      </c>
      <c r="D32" s="120" t="s">
        <v>91</v>
      </c>
      <c r="E32" s="120"/>
      <c r="F32" s="202"/>
      <c r="G32" s="120"/>
      <c r="H32" s="120"/>
      <c r="I32" s="127" t="s">
        <v>93</v>
      </c>
      <c r="J32" s="216"/>
      <c r="L32" s="194">
        <f t="shared" si="4"/>
        <v>10</v>
      </c>
      <c r="M32" s="218"/>
      <c r="N32" s="161"/>
    </row>
    <row r="33" spans="1:14" ht="14.4" x14ac:dyDescent="0.3">
      <c r="A33" s="201" t="s">
        <v>12</v>
      </c>
      <c r="B33" s="200">
        <f>SUM(B20:B32)</f>
        <v>4229.43</v>
      </c>
      <c r="C33" s="198"/>
      <c r="D33" s="120"/>
      <c r="E33" s="120"/>
      <c r="F33" s="120"/>
      <c r="G33" s="120"/>
      <c r="H33" s="120"/>
      <c r="I33" s="156" t="s">
        <v>93</v>
      </c>
      <c r="J33" s="217"/>
      <c r="L33" s="194">
        <f t="shared" si="4"/>
        <v>11</v>
      </c>
      <c r="M33" s="218"/>
      <c r="N33" s="161"/>
    </row>
    <row r="34" spans="1:14" ht="14.4" x14ac:dyDescent="0.3">
      <c r="A34" s="201" t="s">
        <v>92</v>
      </c>
      <c r="B34" s="203">
        <f>(B17/12)-B33</f>
        <v>-49.430000000000291</v>
      </c>
      <c r="C34" s="120"/>
      <c r="D34" s="120"/>
      <c r="E34" s="120"/>
      <c r="J34" s="196"/>
      <c r="L34" s="194">
        <f t="shared" si="4"/>
        <v>12</v>
      </c>
      <c r="M34" s="218"/>
      <c r="N34" s="161"/>
    </row>
    <row r="35" spans="1:14" ht="14.4" x14ac:dyDescent="0.3">
      <c r="J35" s="196"/>
      <c r="L35" s="194">
        <f t="shared" si="4"/>
        <v>13</v>
      </c>
      <c r="M35" s="218"/>
      <c r="N35" s="161"/>
    </row>
    <row r="36" spans="1:14" ht="14.4" x14ac:dyDescent="0.3">
      <c r="J36" s="196"/>
      <c r="L36" s="194">
        <f t="shared" si="4"/>
        <v>14</v>
      </c>
      <c r="M36" s="218"/>
      <c r="N36" s="161"/>
    </row>
    <row r="37" spans="1:14" ht="14.4" x14ac:dyDescent="0.3">
      <c r="J37" s="196"/>
      <c r="L37" s="194">
        <f t="shared" si="4"/>
        <v>15</v>
      </c>
      <c r="M37" s="218"/>
      <c r="N37" s="161"/>
    </row>
    <row r="38" spans="1:14" ht="14.4" x14ac:dyDescent="0.3">
      <c r="A38" s="222" t="s">
        <v>97</v>
      </c>
      <c r="B38" s="222"/>
      <c r="C38" s="222"/>
      <c r="J38" s="196"/>
      <c r="L38" s="194">
        <f t="shared" si="4"/>
        <v>16</v>
      </c>
      <c r="M38" s="218"/>
      <c r="N38" s="161"/>
    </row>
    <row r="39" spans="1:14" ht="14.4" x14ac:dyDescent="0.3">
      <c r="A39" s="204" t="s">
        <v>105</v>
      </c>
      <c r="B39" s="205"/>
      <c r="C39" s="204" t="s">
        <v>104</v>
      </c>
      <c r="J39" s="196"/>
      <c r="L39" s="194">
        <f t="shared" si="4"/>
        <v>17</v>
      </c>
      <c r="M39" s="218"/>
      <c r="N39" s="161"/>
    </row>
    <row r="40" spans="1:14" ht="14.4" x14ac:dyDescent="0.3">
      <c r="A40" s="124" t="s">
        <v>99</v>
      </c>
      <c r="C40" s="206"/>
      <c r="L40" s="194">
        <f t="shared" si="4"/>
        <v>18</v>
      </c>
      <c r="M40" s="218"/>
      <c r="N40" s="161"/>
    </row>
    <row r="41" spans="1:14" ht="14.4" x14ac:dyDescent="0.3">
      <c r="A41" s="124" t="s">
        <v>100</v>
      </c>
      <c r="C41" s="207"/>
      <c r="L41" s="194">
        <f t="shared" si="4"/>
        <v>19</v>
      </c>
      <c r="M41" s="218"/>
      <c r="N41" s="161"/>
    </row>
    <row r="42" spans="1:14" ht="14.4" x14ac:dyDescent="0.3">
      <c r="A42" s="124" t="s">
        <v>101</v>
      </c>
      <c r="C42" s="207"/>
      <c r="L42" s="194">
        <f t="shared" si="4"/>
        <v>20</v>
      </c>
      <c r="M42" s="218"/>
      <c r="N42" s="161"/>
    </row>
    <row r="43" spans="1:14" ht="14.4" x14ac:dyDescent="0.3">
      <c r="A43" s="124" t="s">
        <v>102</v>
      </c>
      <c r="C43" s="207"/>
      <c r="L43" s="194">
        <f t="shared" si="4"/>
        <v>21</v>
      </c>
      <c r="M43" s="218"/>
      <c r="N43" s="161"/>
    </row>
    <row r="44" spans="1:14" ht="14.4" x14ac:dyDescent="0.3">
      <c r="A44" s="124" t="s">
        <v>103</v>
      </c>
      <c r="C44" s="207"/>
      <c r="L44" s="194">
        <f t="shared" si="4"/>
        <v>22</v>
      </c>
      <c r="M44" s="218"/>
      <c r="N44" s="161"/>
    </row>
    <row r="45" spans="1:14" ht="14.4" x14ac:dyDescent="0.3">
      <c r="A45" s="124" t="s">
        <v>106</v>
      </c>
      <c r="C45" s="207"/>
      <c r="L45" s="194">
        <f t="shared" si="4"/>
        <v>23</v>
      </c>
      <c r="M45" s="218"/>
      <c r="N45" s="161"/>
    </row>
    <row r="46" spans="1:14" ht="14.4" x14ac:dyDescent="0.3">
      <c r="A46" s="208" t="s">
        <v>107</v>
      </c>
      <c r="C46" s="207"/>
      <c r="L46" s="194">
        <f t="shared" si="4"/>
        <v>24</v>
      </c>
      <c r="M46" s="218"/>
      <c r="N46" s="161"/>
    </row>
    <row r="47" spans="1:14" ht="14.4" x14ac:dyDescent="0.3">
      <c r="A47" s="208"/>
      <c r="C47" s="207"/>
      <c r="L47" s="194">
        <f t="shared" si="4"/>
        <v>25</v>
      </c>
      <c r="M47" s="218"/>
      <c r="N47" s="161"/>
    </row>
    <row r="48" spans="1:14" ht="14.4" x14ac:dyDescent="0.3">
      <c r="C48" s="207"/>
      <c r="L48" s="194">
        <f t="shared" si="4"/>
        <v>26</v>
      </c>
      <c r="M48" s="218"/>
      <c r="N48" s="161"/>
    </row>
    <row r="49" spans="3:14" ht="14.4" x14ac:dyDescent="0.3">
      <c r="C49" s="207"/>
      <c r="L49" s="194">
        <f t="shared" si="4"/>
        <v>27</v>
      </c>
      <c r="M49" s="218"/>
      <c r="N49" s="161"/>
    </row>
    <row r="50" spans="3:14" ht="14.4" x14ac:dyDescent="0.3">
      <c r="C50" s="207"/>
      <c r="L50" s="194">
        <f t="shared" si="4"/>
        <v>28</v>
      </c>
      <c r="M50" s="218"/>
      <c r="N50" s="161"/>
    </row>
    <row r="51" spans="3:14" ht="14.4" x14ac:dyDescent="0.3">
      <c r="C51" s="207"/>
      <c r="L51" s="194">
        <f t="shared" si="4"/>
        <v>29</v>
      </c>
      <c r="M51" s="218"/>
      <c r="N51" s="161"/>
    </row>
    <row r="52" spans="3:14" ht="14.4" x14ac:dyDescent="0.3">
      <c r="C52" s="207"/>
      <c r="L52" s="194">
        <f t="shared" si="4"/>
        <v>30</v>
      </c>
      <c r="M52" s="218"/>
      <c r="N52" s="161"/>
    </row>
    <row r="53" spans="3:14" ht="14.4" x14ac:dyDescent="0.3">
      <c r="C53" s="207"/>
      <c r="L53" s="194">
        <f t="shared" si="4"/>
        <v>31</v>
      </c>
      <c r="M53" s="218"/>
      <c r="N53" s="161"/>
    </row>
    <row r="54" spans="3:14" ht="14.4" x14ac:dyDescent="0.3">
      <c r="C54" s="207"/>
      <c r="L54" s="194">
        <f t="shared" si="4"/>
        <v>32</v>
      </c>
      <c r="M54" s="218"/>
      <c r="N54" s="161"/>
    </row>
    <row r="55" spans="3:14" ht="14.4" x14ac:dyDescent="0.3">
      <c r="C55" s="207"/>
      <c r="L55" s="194">
        <f t="shared" si="4"/>
        <v>33</v>
      </c>
      <c r="M55" s="218"/>
      <c r="N55" s="161"/>
    </row>
    <row r="56" spans="3:14" ht="14.4" x14ac:dyDescent="0.3">
      <c r="C56" s="207"/>
      <c r="L56" s="194">
        <f t="shared" si="4"/>
        <v>34</v>
      </c>
      <c r="M56" s="218"/>
      <c r="N56" s="161"/>
    </row>
    <row r="57" spans="3:14" ht="14.4" x14ac:dyDescent="0.3">
      <c r="C57" s="207"/>
      <c r="L57" s="194">
        <f t="shared" si="4"/>
        <v>35</v>
      </c>
      <c r="M57" s="218"/>
      <c r="N57" s="161"/>
    </row>
    <row r="58" spans="3:14" ht="14.4" x14ac:dyDescent="0.3">
      <c r="C58" s="207"/>
      <c r="L58" s="194">
        <f t="shared" si="4"/>
        <v>36</v>
      </c>
      <c r="M58" s="218"/>
      <c r="N58" s="161"/>
    </row>
    <row r="59" spans="3:14" ht="14.4" x14ac:dyDescent="0.3">
      <c r="C59" s="207"/>
      <c r="L59" s="194">
        <f t="shared" si="4"/>
        <v>37</v>
      </c>
      <c r="M59" s="218"/>
      <c r="N59" s="161"/>
    </row>
    <row r="60" spans="3:14" ht="14.4" x14ac:dyDescent="0.3">
      <c r="C60" s="209"/>
      <c r="L60" s="194">
        <f t="shared" si="4"/>
        <v>38</v>
      </c>
      <c r="M60" s="218"/>
      <c r="N60" s="161"/>
    </row>
    <row r="61" spans="3:14" ht="14.4" x14ac:dyDescent="0.3">
      <c r="C61" s="209"/>
      <c r="L61" s="194">
        <f t="shared" si="4"/>
        <v>39</v>
      </c>
      <c r="M61" s="218"/>
      <c r="N61" s="161"/>
    </row>
    <row r="62" spans="3:14" ht="14.4" x14ac:dyDescent="0.3">
      <c r="C62" s="209"/>
      <c r="L62" s="194">
        <f t="shared" si="4"/>
        <v>40</v>
      </c>
      <c r="M62" s="218"/>
      <c r="N62" s="161"/>
    </row>
    <row r="63" spans="3:14" ht="14.4" x14ac:dyDescent="0.3">
      <c r="C63" s="209"/>
      <c r="L63" s="194">
        <f t="shared" si="4"/>
        <v>41</v>
      </c>
      <c r="M63" s="218"/>
      <c r="N63" s="161"/>
    </row>
    <row r="64" spans="3:14" ht="14.4" x14ac:dyDescent="0.3">
      <c r="C64" s="209"/>
      <c r="L64" s="194">
        <f t="shared" si="4"/>
        <v>42</v>
      </c>
      <c r="M64" s="218"/>
      <c r="N64" s="161"/>
    </row>
    <row r="65" spans="3:14" ht="14.4" x14ac:dyDescent="0.3">
      <c r="C65" s="209"/>
      <c r="L65" s="194">
        <f t="shared" si="4"/>
        <v>43</v>
      </c>
      <c r="M65" s="218"/>
      <c r="N65" s="161"/>
    </row>
    <row r="66" spans="3:14" ht="14.4" x14ac:dyDescent="0.3">
      <c r="C66" s="209"/>
      <c r="L66" s="194">
        <f t="shared" si="4"/>
        <v>44</v>
      </c>
      <c r="M66" s="218"/>
      <c r="N66" s="161"/>
    </row>
    <row r="67" spans="3:14" ht="14.4" x14ac:dyDescent="0.3">
      <c r="C67" s="209"/>
      <c r="L67" s="194">
        <f t="shared" si="4"/>
        <v>45</v>
      </c>
      <c r="M67" s="218"/>
      <c r="N67" s="161"/>
    </row>
    <row r="68" spans="3:14" ht="14.4" x14ac:dyDescent="0.3">
      <c r="C68" s="209"/>
      <c r="L68" s="194">
        <f t="shared" si="4"/>
        <v>46</v>
      </c>
      <c r="M68" s="218"/>
      <c r="N68" s="161"/>
    </row>
    <row r="69" spans="3:14" ht="14.4" x14ac:dyDescent="0.3">
      <c r="C69" s="209"/>
      <c r="L69" s="194">
        <f t="shared" si="4"/>
        <v>47</v>
      </c>
      <c r="M69" s="218"/>
      <c r="N69" s="161"/>
    </row>
    <row r="70" spans="3:14" ht="14.4" x14ac:dyDescent="0.3">
      <c r="C70" s="210"/>
      <c r="L70" s="194">
        <f t="shared" si="4"/>
        <v>48</v>
      </c>
      <c r="M70" s="218"/>
      <c r="N70" s="161"/>
    </row>
    <row r="71" spans="3:14" ht="14.4" x14ac:dyDescent="0.3">
      <c r="L71" s="194">
        <f t="shared" si="4"/>
        <v>49</v>
      </c>
      <c r="M71" s="218"/>
      <c r="N71" s="161"/>
    </row>
    <row r="72" spans="3:14" ht="14.4" x14ac:dyDescent="0.3">
      <c r="L72" s="194">
        <f t="shared" si="4"/>
        <v>50</v>
      </c>
      <c r="M72" s="218"/>
      <c r="N72" s="161"/>
    </row>
    <row r="73" spans="3:14" ht="14.4" x14ac:dyDescent="0.3">
      <c r="L73" s="194">
        <f t="shared" si="4"/>
        <v>51</v>
      </c>
      <c r="M73" s="218"/>
      <c r="N73" s="161"/>
    </row>
    <row r="74" spans="3:14" ht="14.4" x14ac:dyDescent="0.3">
      <c r="L74" s="194">
        <f t="shared" si="4"/>
        <v>52</v>
      </c>
      <c r="M74" s="218"/>
      <c r="N74" s="161"/>
    </row>
    <row r="75" spans="3:14" ht="14.4" x14ac:dyDescent="0.3">
      <c r="L75" s="194">
        <f t="shared" si="4"/>
        <v>53</v>
      </c>
      <c r="M75" s="218"/>
      <c r="N75" s="161"/>
    </row>
    <row r="76" spans="3:14" ht="14.4" x14ac:dyDescent="0.3">
      <c r="L76" s="194">
        <f t="shared" si="4"/>
        <v>54</v>
      </c>
      <c r="M76" s="218"/>
      <c r="N76" s="161"/>
    </row>
    <row r="77" spans="3:14" ht="14.4" x14ac:dyDescent="0.3">
      <c r="L77" s="194">
        <f t="shared" si="4"/>
        <v>55</v>
      </c>
      <c r="M77" s="218"/>
      <c r="N77" s="161"/>
    </row>
    <row r="78" spans="3:14" ht="14.4" x14ac:dyDescent="0.3">
      <c r="L78" s="194">
        <f t="shared" si="4"/>
        <v>56</v>
      </c>
      <c r="M78" s="218"/>
      <c r="N78" s="161"/>
    </row>
    <row r="79" spans="3:14" ht="14.4" x14ac:dyDescent="0.3">
      <c r="L79" s="194">
        <f t="shared" si="4"/>
        <v>57</v>
      </c>
      <c r="M79" s="218"/>
      <c r="N79" s="161"/>
    </row>
    <row r="80" spans="3:14" ht="14.4" x14ac:dyDescent="0.3">
      <c r="L80" s="194">
        <f t="shared" si="4"/>
        <v>58</v>
      </c>
      <c r="M80" s="218"/>
      <c r="N80" s="161"/>
    </row>
    <row r="81" spans="12:14" ht="14.4" x14ac:dyDescent="0.3">
      <c r="L81" s="194">
        <f t="shared" si="4"/>
        <v>59</v>
      </c>
      <c r="M81" s="218"/>
      <c r="N81" s="161"/>
    </row>
    <row r="82" spans="12:14" ht="14.4" x14ac:dyDescent="0.3">
      <c r="L82" s="194">
        <f t="shared" si="4"/>
        <v>60</v>
      </c>
      <c r="M82" s="218"/>
      <c r="N82" s="161"/>
    </row>
    <row r="83" spans="12:14" ht="14.4" x14ac:dyDescent="0.3">
      <c r="L83" s="194">
        <f t="shared" si="4"/>
        <v>61</v>
      </c>
      <c r="M83" s="218"/>
      <c r="N83" s="161"/>
    </row>
    <row r="84" spans="12:14" ht="14.4" x14ac:dyDescent="0.3">
      <c r="L84" s="194">
        <f t="shared" si="4"/>
        <v>62</v>
      </c>
      <c r="M84" s="218"/>
      <c r="N84" s="161"/>
    </row>
    <row r="85" spans="12:14" ht="14.4" x14ac:dyDescent="0.3">
      <c r="L85" s="194">
        <f t="shared" si="4"/>
        <v>63</v>
      </c>
      <c r="M85" s="218"/>
      <c r="N85" s="161"/>
    </row>
    <row r="86" spans="12:14" ht="14.4" x14ac:dyDescent="0.3">
      <c r="L86" s="194">
        <f t="shared" si="4"/>
        <v>64</v>
      </c>
      <c r="M86" s="218"/>
      <c r="N86" s="161"/>
    </row>
    <row r="87" spans="12:14" ht="14.4" x14ac:dyDescent="0.3">
      <c r="L87" s="194">
        <f t="shared" si="4"/>
        <v>65</v>
      </c>
      <c r="M87" s="218"/>
      <c r="N87" s="161"/>
    </row>
    <row r="88" spans="12:14" ht="14.4" x14ac:dyDescent="0.3">
      <c r="L88" s="194">
        <f t="shared" si="4"/>
        <v>66</v>
      </c>
      <c r="M88" s="218"/>
      <c r="N88" s="161"/>
    </row>
    <row r="89" spans="12:14" ht="14.4" x14ac:dyDescent="0.3">
      <c r="L89" s="194">
        <f t="shared" si="4"/>
        <v>67</v>
      </c>
      <c r="M89" s="218"/>
      <c r="N89" s="161"/>
    </row>
    <row r="90" spans="12:14" ht="14.4" x14ac:dyDescent="0.3">
      <c r="L90" s="194">
        <f t="shared" ref="L90:L122" si="5">L89+1</f>
        <v>68</v>
      </c>
      <c r="M90" s="218"/>
      <c r="N90" s="161"/>
    </row>
    <row r="91" spans="12:14" ht="14.4" x14ac:dyDescent="0.3">
      <c r="L91" s="194">
        <f t="shared" si="5"/>
        <v>69</v>
      </c>
      <c r="M91" s="218"/>
      <c r="N91" s="161"/>
    </row>
    <row r="92" spans="12:14" ht="14.4" x14ac:dyDescent="0.3">
      <c r="L92" s="194">
        <f t="shared" si="5"/>
        <v>70</v>
      </c>
      <c r="M92" s="218"/>
      <c r="N92" s="161"/>
    </row>
    <row r="93" spans="12:14" ht="14.4" x14ac:dyDescent="0.3">
      <c r="L93" s="194">
        <f t="shared" si="5"/>
        <v>71</v>
      </c>
      <c r="M93" s="218"/>
      <c r="N93" s="161"/>
    </row>
    <row r="94" spans="12:14" ht="14.4" x14ac:dyDescent="0.3">
      <c r="L94" s="194">
        <f t="shared" si="5"/>
        <v>72</v>
      </c>
      <c r="M94" s="218"/>
      <c r="N94" s="161"/>
    </row>
    <row r="95" spans="12:14" ht="14.4" x14ac:dyDescent="0.3">
      <c r="L95" s="194">
        <f t="shared" si="5"/>
        <v>73</v>
      </c>
      <c r="M95" s="218"/>
      <c r="N95" s="161"/>
    </row>
    <row r="96" spans="12:14" ht="14.4" x14ac:dyDescent="0.3">
      <c r="L96" s="194">
        <f t="shared" si="5"/>
        <v>74</v>
      </c>
      <c r="M96" s="218"/>
      <c r="N96" s="161"/>
    </row>
    <row r="97" spans="12:14" ht="14.4" x14ac:dyDescent="0.3">
      <c r="L97" s="194">
        <f t="shared" si="5"/>
        <v>75</v>
      </c>
      <c r="M97" s="218"/>
      <c r="N97" s="161"/>
    </row>
    <row r="98" spans="12:14" ht="14.4" x14ac:dyDescent="0.3">
      <c r="L98" s="194">
        <f t="shared" si="5"/>
        <v>76</v>
      </c>
      <c r="M98" s="218"/>
      <c r="N98" s="161"/>
    </row>
    <row r="99" spans="12:14" ht="14.4" x14ac:dyDescent="0.3">
      <c r="L99" s="194">
        <f t="shared" si="5"/>
        <v>77</v>
      </c>
      <c r="M99" s="218"/>
      <c r="N99" s="161"/>
    </row>
    <row r="100" spans="12:14" ht="14.4" x14ac:dyDescent="0.3">
      <c r="L100" s="194">
        <f t="shared" si="5"/>
        <v>78</v>
      </c>
      <c r="M100" s="218"/>
      <c r="N100" s="161"/>
    </row>
    <row r="101" spans="12:14" ht="14.4" x14ac:dyDescent="0.3">
      <c r="L101" s="194">
        <f t="shared" si="5"/>
        <v>79</v>
      </c>
      <c r="M101" s="218"/>
      <c r="N101" s="161"/>
    </row>
    <row r="102" spans="12:14" ht="14.4" x14ac:dyDescent="0.3">
      <c r="L102" s="194">
        <f t="shared" si="5"/>
        <v>80</v>
      </c>
      <c r="M102" s="218"/>
      <c r="N102" s="161"/>
    </row>
    <row r="103" spans="12:14" ht="14.4" x14ac:dyDescent="0.3">
      <c r="L103" s="194">
        <f t="shared" si="5"/>
        <v>81</v>
      </c>
      <c r="M103" s="218"/>
      <c r="N103" s="161"/>
    </row>
    <row r="104" spans="12:14" ht="14.4" x14ac:dyDescent="0.3">
      <c r="L104" s="194">
        <f t="shared" si="5"/>
        <v>82</v>
      </c>
      <c r="M104" s="218"/>
      <c r="N104" s="161"/>
    </row>
    <row r="105" spans="12:14" ht="14.4" x14ac:dyDescent="0.3">
      <c r="L105" s="194">
        <f t="shared" si="5"/>
        <v>83</v>
      </c>
      <c r="M105" s="218"/>
      <c r="N105" s="161"/>
    </row>
    <row r="106" spans="12:14" ht="14.4" x14ac:dyDescent="0.3">
      <c r="L106" s="194">
        <f t="shared" si="5"/>
        <v>84</v>
      </c>
      <c r="M106" s="218"/>
      <c r="N106" s="161"/>
    </row>
    <row r="107" spans="12:14" ht="14.4" x14ac:dyDescent="0.3">
      <c r="L107" s="194">
        <f t="shared" si="5"/>
        <v>85</v>
      </c>
      <c r="M107" s="218"/>
      <c r="N107" s="161"/>
    </row>
    <row r="108" spans="12:14" ht="14.4" x14ac:dyDescent="0.3">
      <c r="L108" s="194">
        <f t="shared" si="5"/>
        <v>86</v>
      </c>
      <c r="M108" s="218"/>
      <c r="N108" s="161"/>
    </row>
    <row r="109" spans="12:14" ht="14.4" x14ac:dyDescent="0.3">
      <c r="L109" s="194">
        <f t="shared" si="5"/>
        <v>87</v>
      </c>
      <c r="M109" s="218"/>
      <c r="N109" s="161"/>
    </row>
    <row r="110" spans="12:14" ht="14.4" x14ac:dyDescent="0.3">
      <c r="L110" s="194">
        <f t="shared" si="5"/>
        <v>88</v>
      </c>
      <c r="M110" s="218"/>
      <c r="N110" s="161"/>
    </row>
    <row r="111" spans="12:14" ht="14.4" x14ac:dyDescent="0.3">
      <c r="L111" s="194">
        <f t="shared" si="5"/>
        <v>89</v>
      </c>
      <c r="M111" s="218"/>
      <c r="N111" s="161"/>
    </row>
    <row r="112" spans="12:14" ht="14.4" x14ac:dyDescent="0.3">
      <c r="L112" s="194">
        <f t="shared" si="5"/>
        <v>90</v>
      </c>
      <c r="M112" s="218"/>
      <c r="N112" s="161"/>
    </row>
    <row r="113" spans="11:14" ht="14.4" x14ac:dyDescent="0.3">
      <c r="L113" s="194">
        <f t="shared" si="5"/>
        <v>91</v>
      </c>
      <c r="M113" s="218"/>
      <c r="N113" s="161"/>
    </row>
    <row r="114" spans="11:14" ht="14.4" x14ac:dyDescent="0.3">
      <c r="L114" s="194">
        <f t="shared" si="5"/>
        <v>92</v>
      </c>
      <c r="M114" s="218"/>
      <c r="N114" s="161"/>
    </row>
    <row r="115" spans="11:14" ht="14.4" x14ac:dyDescent="0.3">
      <c r="L115" s="194">
        <f t="shared" si="5"/>
        <v>93</v>
      </c>
      <c r="M115" s="218"/>
      <c r="N115" s="161"/>
    </row>
    <row r="116" spans="11:14" ht="14.4" x14ac:dyDescent="0.3">
      <c r="L116" s="194">
        <f t="shared" si="5"/>
        <v>94</v>
      </c>
      <c r="M116" s="218"/>
      <c r="N116" s="161"/>
    </row>
    <row r="117" spans="11:14" ht="14.4" x14ac:dyDescent="0.3">
      <c r="K117" s="195"/>
      <c r="L117" s="194">
        <f t="shared" si="5"/>
        <v>95</v>
      </c>
      <c r="M117" s="218"/>
      <c r="N117" s="161"/>
    </row>
    <row r="118" spans="11:14" ht="14.4" x14ac:dyDescent="0.3">
      <c r="K118" s="195"/>
      <c r="L118" s="194">
        <f t="shared" si="5"/>
        <v>96</v>
      </c>
      <c r="M118" s="218"/>
      <c r="N118" s="161"/>
    </row>
    <row r="119" spans="11:14" ht="14.4" x14ac:dyDescent="0.3">
      <c r="K119" s="195"/>
      <c r="L119" s="194">
        <f t="shared" si="5"/>
        <v>97</v>
      </c>
      <c r="M119" s="218"/>
      <c r="N119" s="161"/>
    </row>
    <row r="120" spans="11:14" ht="14.4" x14ac:dyDescent="0.3">
      <c r="K120" s="195"/>
      <c r="L120" s="194">
        <f t="shared" si="5"/>
        <v>98</v>
      </c>
      <c r="M120" s="218"/>
      <c r="N120" s="161"/>
    </row>
    <row r="121" spans="11:14" ht="14.4" x14ac:dyDescent="0.3">
      <c r="K121" s="195"/>
      <c r="L121" s="194">
        <f t="shared" si="5"/>
        <v>99</v>
      </c>
      <c r="M121" s="218"/>
      <c r="N121" s="161"/>
    </row>
    <row r="122" spans="11:14" ht="14.4" x14ac:dyDescent="0.3">
      <c r="K122" s="195"/>
      <c r="L122" s="211">
        <f t="shared" si="5"/>
        <v>100</v>
      </c>
      <c r="M122" s="219"/>
      <c r="N122" s="212"/>
    </row>
    <row r="123" spans="11:14" x14ac:dyDescent="0.25">
      <c r="K123" s="195"/>
    </row>
    <row r="124" spans="11:14" x14ac:dyDescent="0.25">
      <c r="K124" s="195"/>
    </row>
    <row r="125" spans="11:14" x14ac:dyDescent="0.25">
      <c r="K125" s="195"/>
    </row>
    <row r="126" spans="11:14" x14ac:dyDescent="0.25">
      <c r="K126" s="195"/>
    </row>
    <row r="127" spans="11:14" x14ac:dyDescent="0.25">
      <c r="K127" s="195"/>
    </row>
    <row r="128" spans="11:14" x14ac:dyDescent="0.25">
      <c r="K128" s="195"/>
    </row>
  </sheetData>
  <mergeCells count="2">
    <mergeCell ref="I19:J19"/>
    <mergeCell ref="A38:C38"/>
  </mergeCells>
  <pageMargins left="0.17" right="0.2" top="0.75" bottom="0.75" header="0.3" footer="0.3"/>
  <pageSetup scale="71" fitToWidth="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 t="s">
        <v>111</v>
      </c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 t="s">
        <v>110</v>
      </c>
      <c r="C2" s="3"/>
      <c r="D2" s="42" t="s">
        <v>64</v>
      </c>
      <c r="E2" s="11"/>
      <c r="F2" s="43">
        <f>B4*(B13+B12)</f>
        <v>71250</v>
      </c>
      <c r="H2" s="44" t="s">
        <v>53</v>
      </c>
      <c r="I2" s="45"/>
      <c r="J2" s="46">
        <f>IF(B4=0,"N/A",(B17/12-B33+B28)/B28)</f>
        <v>2.9029709497681933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0.17242547368421052</v>
      </c>
      <c r="K3" s="51"/>
      <c r="L3" s="52"/>
    </row>
    <row r="4" spans="1:16" ht="14.4" x14ac:dyDescent="0.3">
      <c r="A4" s="4" t="s">
        <v>67</v>
      </c>
      <c r="B4" s="53">
        <v>0.75</v>
      </c>
      <c r="C4" s="3"/>
      <c r="D4" s="4" t="s">
        <v>68</v>
      </c>
      <c r="E4" s="11"/>
      <c r="F4" s="54">
        <v>0.05</v>
      </c>
      <c r="H4" s="137" t="s">
        <v>0</v>
      </c>
      <c r="I4" s="142"/>
      <c r="J4" s="226">
        <f>(12*B34)/J6</f>
        <v>0.39234799766150247</v>
      </c>
      <c r="K4" s="12"/>
      <c r="L4" s="56"/>
      <c r="N4" s="57"/>
      <c r="O4" s="58"/>
      <c r="P4" s="59">
        <f>(12*B34-(CUMPRINC(F4/12,F3*12,F2,1,12,0)))</f>
        <v>12866.239347228058</v>
      </c>
    </row>
    <row r="5" spans="1:16" ht="14.4" x14ac:dyDescent="0.3">
      <c r="A5" s="4" t="s">
        <v>70</v>
      </c>
      <c r="B5" s="60">
        <v>10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>
        <f>(F2+CUMPRINC(F4/12,F3*12,F2,1,L5*12,0))/(B13*(1+B7)^L5)</f>
        <v>2.9555221168852106</v>
      </c>
      <c r="K5" s="3" t="s">
        <v>74</v>
      </c>
      <c r="L5" s="60">
        <f>B5</f>
        <v>10</v>
      </c>
      <c r="N5" s="57"/>
      <c r="P5" s="62">
        <f>0.03636*(B12+B13)</f>
        <v>3454.2000000000003</v>
      </c>
    </row>
    <row r="6" spans="1:16" ht="14.4" x14ac:dyDescent="0.3">
      <c r="A6" s="4" t="s">
        <v>71</v>
      </c>
      <c r="B6" s="63">
        <v>0.05</v>
      </c>
      <c r="C6" s="3"/>
      <c r="D6" s="64" t="s">
        <v>52</v>
      </c>
      <c r="E6" s="65"/>
      <c r="F6" s="66">
        <f>SUM(J20:J33)</f>
        <v>3618</v>
      </c>
      <c r="H6" s="55" t="s">
        <v>114</v>
      </c>
      <c r="I6" s="150"/>
      <c r="J6" s="227">
        <f>(B12+B13)-F2+F6+F5*F2-F9</f>
        <v>27368</v>
      </c>
      <c r="K6" s="12"/>
      <c r="L6" s="67"/>
      <c r="N6" s="57"/>
      <c r="P6" s="68">
        <f>P4-P5</f>
        <v>9412.0393472280575</v>
      </c>
    </row>
    <row r="7" spans="1:16" ht="14.4" x14ac:dyDescent="0.3">
      <c r="A7" s="4" t="s">
        <v>72</v>
      </c>
      <c r="B7" s="63">
        <v>0</v>
      </c>
      <c r="C7" s="3"/>
      <c r="D7" s="3"/>
      <c r="E7" s="11"/>
      <c r="F7" s="69"/>
      <c r="H7" s="55"/>
      <c r="I7" s="20"/>
      <c r="L7" s="91"/>
      <c r="N7" s="70"/>
      <c r="P7" s="68">
        <f>P6*B8</f>
        <v>0</v>
      </c>
    </row>
    <row r="8" spans="1:16" ht="14.4" x14ac:dyDescent="0.3">
      <c r="A8" s="4" t="s">
        <v>94</v>
      </c>
      <c r="B8" s="63">
        <v>0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/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80000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15000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3</v>
      </c>
      <c r="C14" s="84" t="str">
        <f>IF(COUNT(M23:M122)=B14,IF(B15&lt;B14*L19,"Total Rent Seems Low - Check Assumptions",""),"Enter Rent For All Units")</f>
        <v>Total Rent Seems Low - Check Assumptions</v>
      </c>
      <c r="D14" s="3"/>
      <c r="E14" s="3"/>
    </row>
    <row r="15" spans="1:16" ht="13.8" x14ac:dyDescent="0.3">
      <c r="A15" s="4" t="s">
        <v>77</v>
      </c>
      <c r="B15" s="8">
        <f>L21</f>
        <v>2350</v>
      </c>
    </row>
    <row r="16" spans="1:16" ht="13.8" x14ac:dyDescent="0.3">
      <c r="A16" s="4" t="s">
        <v>78</v>
      </c>
      <c r="B16" s="108">
        <f>B15*12</f>
        <v>28200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(5% vacancy)</v>
      </c>
      <c r="B17" s="109">
        <f>B16*(1-B6)</f>
        <v>26790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800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223.25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97.92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500</v>
      </c>
      <c r="L21" s="92">
        <f>SUM(M23:M122)</f>
        <v>2350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35.625</v>
      </c>
      <c r="C22" s="94">
        <v>150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71.25</v>
      </c>
      <c r="C23" s="94">
        <v>300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113</v>
      </c>
      <c r="L23" s="95">
        <v>1</v>
      </c>
      <c r="M23" s="97">
        <v>650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750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950</v>
      </c>
      <c r="N25" s="91"/>
    </row>
    <row r="26" spans="1:14" ht="14.4" x14ac:dyDescent="0.3">
      <c r="A26" s="3" t="s">
        <v>29</v>
      </c>
      <c r="B26" s="88">
        <f>C26*B14</f>
        <v>30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/>
      <c r="N26" s="91"/>
    </row>
    <row r="27" spans="1:14" ht="14.4" x14ac:dyDescent="0.3">
      <c r="A27" s="3" t="s">
        <v>30</v>
      </c>
      <c r="B27" s="88">
        <f>F28/12</f>
        <v>62.5</v>
      </c>
      <c r="C27" s="98">
        <f>F27*B13/B14</f>
        <v>250</v>
      </c>
      <c r="D27" s="3" t="s">
        <v>85</v>
      </c>
      <c r="E27" s="3"/>
      <c r="F27" s="99">
        <v>0.05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/>
      <c r="N27" s="91"/>
    </row>
    <row r="28" spans="1:14" ht="14.4" x14ac:dyDescent="0.3">
      <c r="A28" s="3" t="s">
        <v>55</v>
      </c>
      <c r="B28" s="88">
        <f>-ROUND(PMT(F4/12,F3*12,F2),2)</f>
        <v>470.22</v>
      </c>
      <c r="C28" s="3"/>
      <c r="D28" s="3"/>
      <c r="E28" s="3"/>
      <c r="F28" s="98">
        <f>F27*B13</f>
        <v>750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/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/>
      <c r="N29" s="91"/>
    </row>
    <row r="30" spans="1:14" ht="14.4" x14ac:dyDescent="0.3">
      <c r="A30" s="3" t="s">
        <v>32</v>
      </c>
      <c r="B30" s="88">
        <f>ROUND(C30/12,2)</f>
        <v>166.67</v>
      </c>
      <c r="C30" s="94">
        <v>2000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/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180.25</v>
      </c>
      <c r="C32" s="94">
        <v>2163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1337.6850000000002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894.81499999999983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0</v>
      </c>
      <c r="H2" s="44" t="s">
        <v>53</v>
      </c>
      <c r="I2" s="45"/>
      <c r="J2" s="46" t="str">
        <f>IF(B4=0,"N/A",(B17/12-B33+B28)/B28)</f>
        <v>N/A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 t="e">
        <f>(((B17/12)-SUM(B20:B27)-SUM(B30:B32))*12)/(B12+B13)</f>
        <v>#DIV/0!</v>
      </c>
      <c r="K3" s="51"/>
      <c r="L3" s="52"/>
    </row>
    <row r="4" spans="1:16" ht="14.4" x14ac:dyDescent="0.3">
      <c r="A4" s="4" t="s">
        <v>67</v>
      </c>
      <c r="B4" s="53">
        <v>0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13.153517470881864</v>
      </c>
      <c r="K4" s="12"/>
      <c r="L4" s="56"/>
      <c r="N4" s="57"/>
      <c r="O4" s="58"/>
      <c r="P4" s="59" t="e">
        <f>(12*B34-(CUMPRINC(F4/12,F3*12,F2,1,12,0)))</f>
        <v>#NUM!</v>
      </c>
    </row>
    <row r="5" spans="1:16" ht="14.4" x14ac:dyDescent="0.3">
      <c r="A5" s="4" t="s">
        <v>70</v>
      </c>
      <c r="B5" s="60">
        <v>10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 t="e">
        <f>(F2+CUMPRINC(F4/12,F3*12,F2,1,L5*12,0))/(B13*(1+B7)^L5)</f>
        <v>#NUM!</v>
      </c>
      <c r="K5" s="3" t="s">
        <v>74</v>
      </c>
      <c r="L5" s="60">
        <f>B5</f>
        <v>10</v>
      </c>
      <c r="N5" s="57"/>
      <c r="P5" s="62">
        <f>0.03636*(B12+B13)</f>
        <v>0</v>
      </c>
    </row>
    <row r="6" spans="1:16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3005</v>
      </c>
      <c r="H6" s="55" t="s">
        <v>114</v>
      </c>
      <c r="I6" s="150"/>
      <c r="J6" s="227">
        <f>(B12+B13)-F2+F6+F5*F2-F9</f>
        <v>3005</v>
      </c>
      <c r="K6" s="12"/>
      <c r="L6" s="67"/>
      <c r="N6" s="57"/>
      <c r="P6" s="68" t="e">
        <f>P4-P5</f>
        <v>#NUM!</v>
      </c>
    </row>
    <row r="7" spans="1:16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 t="e">
        <f>P6*B8</f>
        <v>#NUM!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0</v>
      </c>
      <c r="C14" s="84" t="str">
        <f>IF(COUNT(M23:M122)=B14,IF(B15&lt;B14*L19,"Total Rent Seems Low - Check Assumptions",""),"Enter Rent For All Units")</f>
        <v>Enter Rent For All Units</v>
      </c>
      <c r="D14" s="3"/>
      <c r="E14" s="3"/>
    </row>
    <row r="15" spans="1:16" ht="13.8" x14ac:dyDescent="0.3">
      <c r="A15" s="4" t="s">
        <v>77</v>
      </c>
      <c r="B15" s="8">
        <f>L21</f>
        <v>5425</v>
      </c>
    </row>
    <row r="16" spans="1:16" ht="13.8" x14ac:dyDescent="0.3">
      <c r="A16" s="4" t="s">
        <v>78</v>
      </c>
      <c r="B16" s="108">
        <f>B15*12</f>
        <v>65100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(8% vacancy)</v>
      </c>
      <c r="B17" s="109">
        <f>B16*(1-B6)</f>
        <v>59892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800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499.1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226.04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5425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0</v>
      </c>
      <c r="C22" s="94">
        <v>120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0</v>
      </c>
      <c r="C23" s="94">
        <v>240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0</v>
      </c>
      <c r="L23" s="95">
        <v>1</v>
      </c>
      <c r="M23" s="97">
        <v>750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650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700</v>
      </c>
      <c r="N25" s="91"/>
    </row>
    <row r="26" spans="1:14" ht="14.4" x14ac:dyDescent="0.3">
      <c r="A26" s="3" t="s">
        <v>29</v>
      </c>
      <c r="B26" s="88">
        <f>C26*B14</f>
        <v>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>
        <v>600</v>
      </c>
      <c r="N26" s="91"/>
    </row>
    <row r="27" spans="1:14" ht="14.4" x14ac:dyDescent="0.3">
      <c r="A27" s="3" t="s">
        <v>30</v>
      </c>
      <c r="B27" s="88">
        <f>F28/12</f>
        <v>0</v>
      </c>
      <c r="C27" s="98" t="e">
        <f>F27*B13/B14</f>
        <v>#DIV/0!</v>
      </c>
      <c r="D27" s="3" t="s">
        <v>85</v>
      </c>
      <c r="E27" s="3"/>
      <c r="F27" s="99">
        <v>1.4999999999999999E-2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>
        <v>700</v>
      </c>
      <c r="N27" s="91"/>
    </row>
    <row r="28" spans="1:14" ht="14.4" x14ac:dyDescent="0.3">
      <c r="A28" s="3" t="s">
        <v>55</v>
      </c>
      <c r="B28" s="88">
        <f>-ROUND(PMT(F4/12,F3*12,F2),2)</f>
        <v>0</v>
      </c>
      <c r="C28" s="3"/>
      <c r="D28" s="3"/>
      <c r="E28" s="3"/>
      <c r="F28" s="98">
        <f>F27*B13</f>
        <v>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>
        <v>700</v>
      </c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>
        <v>675</v>
      </c>
      <c r="N29" s="91"/>
    </row>
    <row r="30" spans="1:14" ht="14.4" x14ac:dyDescent="0.3">
      <c r="A30" s="3" t="s">
        <v>32</v>
      </c>
      <c r="B30" s="88">
        <f>ROUND(C30/12,2)</f>
        <v>375</v>
      </c>
      <c r="C30" s="94">
        <v>4500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>
        <v>650</v>
      </c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597</v>
      </c>
      <c r="C32" s="94">
        <v>7164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1697.1399999999999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3293.86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  <col min="17" max="17" width="10" bestFit="1" customWidth="1"/>
  </cols>
  <sheetData>
    <row r="1" spans="1:33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33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140000</v>
      </c>
      <c r="H2" s="44" t="s">
        <v>53</v>
      </c>
      <c r="I2" s="45"/>
      <c r="J2" s="46">
        <f>IF(B4=0,"N/A",(B17/12-B33+B28)/B28)</f>
        <v>1.2189317045082475</v>
      </c>
      <c r="K2" s="47" t="s">
        <v>117</v>
      </c>
      <c r="L2" s="48"/>
      <c r="N2" s="49"/>
    </row>
    <row r="3" spans="1:33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9.2538857142857159E-2</v>
      </c>
      <c r="K3" s="51"/>
      <c r="L3" s="52"/>
    </row>
    <row r="4" spans="1:33" ht="14.4" x14ac:dyDescent="0.3">
      <c r="A4" s="4" t="s">
        <v>67</v>
      </c>
      <c r="B4" s="53">
        <v>1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0.57383970406905016</v>
      </c>
      <c r="K4" s="12"/>
      <c r="L4" s="56"/>
      <c r="N4" s="57"/>
      <c r="O4" s="58"/>
      <c r="P4" s="59"/>
    </row>
    <row r="5" spans="1:33" ht="14.4" x14ac:dyDescent="0.3">
      <c r="A5" s="4" t="s">
        <v>70</v>
      </c>
      <c r="B5" s="60">
        <v>5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>
        <f>(F2+CUMPRINC(F4/12,F3*12,F2,1,L5*12,0))/(B13*(1+B7)^L5)</f>
        <v>0.71337738166168518</v>
      </c>
      <c r="K5" s="3" t="s">
        <v>74</v>
      </c>
      <c r="L5" s="60">
        <f>B5</f>
        <v>5</v>
      </c>
      <c r="N5" s="57"/>
      <c r="P5" s="68"/>
      <c r="Q5" s="116">
        <f>ROUND((P7*B14*(1-B6))-(MAX(ROUND(C20*(P7*B14*(1-B6)),2),300)+ROUND(P7*B14*C21/E21,2)+(C22*B14/12)*(1-B6)+(C23*B14/12)*(1-B6)+(C24*B14)*(1-B6)+(C25*B14)*(1-B6)+C26*B14+F28/12-ROUND(PMT(F4/12,F3*12,B4*P6),2)+ROUND(C30/12,2)+ROUND(C31/12,2)+ROUND(C32/12,2)),0)</f>
        <v>202</v>
      </c>
      <c r="R5" s="3">
        <f>B15/B14*0.5</f>
        <v>337.5</v>
      </c>
      <c r="S5" s="3">
        <f>R5+100</f>
        <v>437.5</v>
      </c>
      <c r="T5" s="3">
        <f t="shared" ref="T5:X5" si="0">S5+100</f>
        <v>537.5</v>
      </c>
      <c r="U5" s="3">
        <f t="shared" si="0"/>
        <v>637.5</v>
      </c>
      <c r="V5" s="3">
        <f t="shared" si="0"/>
        <v>737.5</v>
      </c>
      <c r="W5" s="3">
        <f t="shared" si="0"/>
        <v>837.5</v>
      </c>
      <c r="X5" s="3">
        <f t="shared" si="0"/>
        <v>937.5</v>
      </c>
      <c r="AA5" s="117">
        <f t="shared" ref="AA5" si="1">R5</f>
        <v>337.5</v>
      </c>
      <c r="AB5" s="117">
        <f t="shared" ref="AB5" si="2">S5</f>
        <v>437.5</v>
      </c>
      <c r="AC5" s="117">
        <f t="shared" ref="AC5" si="3">T5</f>
        <v>537.5</v>
      </c>
      <c r="AD5" s="117">
        <f t="shared" ref="AD5" si="4">U5</f>
        <v>637.5</v>
      </c>
      <c r="AE5" s="117">
        <f t="shared" ref="AE5" si="5">V5</f>
        <v>737.5</v>
      </c>
      <c r="AF5" s="117">
        <f t="shared" ref="AF5" si="6">W5</f>
        <v>837.5</v>
      </c>
      <c r="AG5" s="117">
        <f t="shared" ref="AG5" si="7">X5</f>
        <v>937.5</v>
      </c>
    </row>
    <row r="6" spans="1:33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4055</v>
      </c>
      <c r="H6" s="55" t="s">
        <v>114</v>
      </c>
      <c r="I6" s="150"/>
      <c r="J6" s="227">
        <f>(B12+B13)-F2+F6+F5*F2-F9</f>
        <v>4055</v>
      </c>
      <c r="K6" s="12"/>
      <c r="L6" s="67"/>
      <c r="N6" s="57"/>
      <c r="P6" s="68">
        <v>200000</v>
      </c>
      <c r="Q6" s="116">
        <f>ROUND(0.8*B11,-3)</f>
        <v>96000</v>
      </c>
      <c r="R6" s="3">
        <f t="dataTable" ref="R6:X15" dt2D="1" dtr="1" r1="P7" r2="P6"/>
        <v>-765</v>
      </c>
      <c r="S6" s="3">
        <v>-414</v>
      </c>
      <c r="T6" s="3">
        <v>-62</v>
      </c>
      <c r="U6" s="3">
        <v>289</v>
      </c>
      <c r="V6" s="3">
        <v>640</v>
      </c>
      <c r="W6" s="3">
        <v>983</v>
      </c>
      <c r="X6" s="3">
        <v>1298</v>
      </c>
      <c r="Z6">
        <f>Q6/1000</f>
        <v>96</v>
      </c>
      <c r="AA6">
        <f t="shared" ref="AA6:AG15" si="8">R6</f>
        <v>-765</v>
      </c>
      <c r="AB6">
        <f t="shared" si="8"/>
        <v>-414</v>
      </c>
      <c r="AC6">
        <f t="shared" si="8"/>
        <v>-62</v>
      </c>
      <c r="AD6">
        <f t="shared" si="8"/>
        <v>289</v>
      </c>
      <c r="AE6">
        <f t="shared" si="8"/>
        <v>640</v>
      </c>
      <c r="AF6">
        <f t="shared" si="8"/>
        <v>983</v>
      </c>
      <c r="AG6">
        <f t="shared" si="8"/>
        <v>1298</v>
      </c>
    </row>
    <row r="7" spans="1:33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>
        <v>800</v>
      </c>
      <c r="Q7" s="116">
        <f>Q6+10000</f>
        <v>106000</v>
      </c>
      <c r="R7" s="3">
        <v>-828</v>
      </c>
      <c r="S7" s="3">
        <v>-477</v>
      </c>
      <c r="T7" s="3">
        <v>-126</v>
      </c>
      <c r="U7" s="3">
        <v>226</v>
      </c>
      <c r="V7" s="3">
        <v>577</v>
      </c>
      <c r="W7" s="3">
        <v>920</v>
      </c>
      <c r="X7" s="3">
        <v>1235</v>
      </c>
      <c r="Z7">
        <f t="shared" ref="Z7:Z15" si="9">Q7/1000</f>
        <v>106</v>
      </c>
      <c r="AA7">
        <f t="shared" si="8"/>
        <v>-828</v>
      </c>
      <c r="AB7">
        <f t="shared" si="8"/>
        <v>-477</v>
      </c>
      <c r="AC7">
        <f t="shared" si="8"/>
        <v>-126</v>
      </c>
      <c r="AD7">
        <f t="shared" si="8"/>
        <v>226</v>
      </c>
      <c r="AE7">
        <f t="shared" si="8"/>
        <v>577</v>
      </c>
      <c r="AF7">
        <f t="shared" si="8"/>
        <v>920</v>
      </c>
      <c r="AG7">
        <f t="shared" si="8"/>
        <v>1235</v>
      </c>
    </row>
    <row r="8" spans="1:33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  <c r="Q8" s="116">
        <f t="shared" ref="Q8:Q15" si="10">Q7+10000</f>
        <v>116000</v>
      </c>
      <c r="R8" s="3">
        <v>-892</v>
      </c>
      <c r="S8" s="3">
        <v>-540</v>
      </c>
      <c r="T8" s="3">
        <v>-189</v>
      </c>
      <c r="U8" s="3">
        <v>162</v>
      </c>
      <c r="V8" s="3">
        <v>514</v>
      </c>
      <c r="W8" s="3">
        <v>857</v>
      </c>
      <c r="X8" s="3">
        <v>1171</v>
      </c>
      <c r="Z8">
        <f t="shared" si="9"/>
        <v>116</v>
      </c>
      <c r="AA8">
        <f t="shared" si="8"/>
        <v>-892</v>
      </c>
      <c r="AB8">
        <f t="shared" si="8"/>
        <v>-540</v>
      </c>
      <c r="AC8">
        <f t="shared" si="8"/>
        <v>-189</v>
      </c>
      <c r="AD8">
        <f t="shared" si="8"/>
        <v>162</v>
      </c>
      <c r="AE8">
        <f t="shared" si="8"/>
        <v>514</v>
      </c>
      <c r="AF8">
        <f t="shared" si="8"/>
        <v>857</v>
      </c>
      <c r="AG8">
        <f t="shared" si="8"/>
        <v>1171</v>
      </c>
    </row>
    <row r="9" spans="1:33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  <c r="Q9" s="116">
        <f t="shared" si="10"/>
        <v>126000</v>
      </c>
      <c r="R9" s="3">
        <v>-955</v>
      </c>
      <c r="S9" s="3">
        <v>-604</v>
      </c>
      <c r="T9" s="3">
        <v>-252</v>
      </c>
      <c r="U9" s="3">
        <v>99</v>
      </c>
      <c r="V9" s="3">
        <v>450</v>
      </c>
      <c r="W9" s="3">
        <v>794</v>
      </c>
      <c r="X9" s="3">
        <v>1108</v>
      </c>
      <c r="Z9">
        <f t="shared" si="9"/>
        <v>126</v>
      </c>
      <c r="AA9">
        <f t="shared" si="8"/>
        <v>-955</v>
      </c>
      <c r="AB9">
        <f t="shared" si="8"/>
        <v>-604</v>
      </c>
      <c r="AC9">
        <f t="shared" si="8"/>
        <v>-252</v>
      </c>
      <c r="AD9">
        <f t="shared" si="8"/>
        <v>99</v>
      </c>
      <c r="AE9">
        <f t="shared" si="8"/>
        <v>450</v>
      </c>
      <c r="AF9">
        <f t="shared" si="8"/>
        <v>794</v>
      </c>
      <c r="AG9">
        <f t="shared" si="8"/>
        <v>1108</v>
      </c>
    </row>
    <row r="10" spans="1:33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  <c r="Q10" s="116">
        <f t="shared" si="10"/>
        <v>136000</v>
      </c>
      <c r="R10" s="3">
        <v>-1018</v>
      </c>
      <c r="S10" s="3">
        <v>-667</v>
      </c>
      <c r="T10" s="3">
        <v>-315</v>
      </c>
      <c r="U10" s="3">
        <v>36</v>
      </c>
      <c r="V10" s="3">
        <v>387</v>
      </c>
      <c r="W10" s="3">
        <v>730</v>
      </c>
      <c r="X10" s="3">
        <v>1045</v>
      </c>
      <c r="Z10">
        <f t="shared" si="9"/>
        <v>136</v>
      </c>
      <c r="AA10">
        <f t="shared" si="8"/>
        <v>-1018</v>
      </c>
      <c r="AB10">
        <f t="shared" si="8"/>
        <v>-667</v>
      </c>
      <c r="AC10">
        <f t="shared" si="8"/>
        <v>-315</v>
      </c>
      <c r="AD10">
        <f t="shared" si="8"/>
        <v>36</v>
      </c>
      <c r="AE10">
        <f t="shared" si="8"/>
        <v>387</v>
      </c>
      <c r="AF10">
        <f t="shared" si="8"/>
        <v>730</v>
      </c>
      <c r="AG10">
        <f t="shared" si="8"/>
        <v>1045</v>
      </c>
    </row>
    <row r="11" spans="1:33" ht="13.8" x14ac:dyDescent="0.3">
      <c r="A11" s="34" t="s">
        <v>75</v>
      </c>
      <c r="B11" s="80">
        <v>120000</v>
      </c>
      <c r="C11" s="81"/>
      <c r="D11" s="235" t="s">
        <v>68</v>
      </c>
      <c r="E11" s="232"/>
      <c r="F11" s="236">
        <v>0.1</v>
      </c>
      <c r="K11" s="11"/>
      <c r="L11" s="11"/>
      <c r="P11" s="3"/>
      <c r="Q11" s="116">
        <f t="shared" si="10"/>
        <v>146000</v>
      </c>
      <c r="R11" s="3">
        <v>-1081</v>
      </c>
      <c r="S11" s="3">
        <v>-730</v>
      </c>
      <c r="T11" s="3">
        <v>-379</v>
      </c>
      <c r="U11" s="3">
        <v>-27</v>
      </c>
      <c r="V11" s="3">
        <v>324</v>
      </c>
      <c r="W11" s="3">
        <v>667</v>
      </c>
      <c r="X11" s="3">
        <v>982</v>
      </c>
      <c r="Z11">
        <f t="shared" si="9"/>
        <v>146</v>
      </c>
      <c r="AA11">
        <f t="shared" si="8"/>
        <v>-1081</v>
      </c>
      <c r="AB11">
        <f t="shared" si="8"/>
        <v>-730</v>
      </c>
      <c r="AC11">
        <f t="shared" si="8"/>
        <v>-379</v>
      </c>
      <c r="AD11">
        <f t="shared" si="8"/>
        <v>-27</v>
      </c>
      <c r="AE11">
        <f t="shared" si="8"/>
        <v>324</v>
      </c>
      <c r="AF11">
        <f t="shared" si="8"/>
        <v>667</v>
      </c>
      <c r="AG11">
        <f t="shared" si="8"/>
        <v>982</v>
      </c>
    </row>
    <row r="12" spans="1:33" ht="13.8" x14ac:dyDescent="0.3">
      <c r="A12" s="4" t="s">
        <v>97</v>
      </c>
      <c r="B12" s="82"/>
      <c r="C12" s="81"/>
      <c r="D12" s="235" t="s">
        <v>13</v>
      </c>
      <c r="E12" s="232"/>
      <c r="F12" s="237">
        <v>0</v>
      </c>
      <c r="P12" s="3"/>
      <c r="Q12" s="116">
        <f t="shared" si="10"/>
        <v>156000</v>
      </c>
      <c r="R12" s="3">
        <v>-1145</v>
      </c>
      <c r="S12" s="3">
        <v>-793</v>
      </c>
      <c r="T12" s="3">
        <v>-442</v>
      </c>
      <c r="U12" s="3">
        <v>-91</v>
      </c>
      <c r="V12" s="3">
        <v>261</v>
      </c>
      <c r="W12" s="3">
        <v>604</v>
      </c>
      <c r="X12" s="3">
        <v>918</v>
      </c>
      <c r="Z12">
        <f t="shared" si="9"/>
        <v>156</v>
      </c>
      <c r="AA12">
        <f t="shared" si="8"/>
        <v>-1145</v>
      </c>
      <c r="AB12">
        <f t="shared" si="8"/>
        <v>-793</v>
      </c>
      <c r="AC12">
        <f t="shared" si="8"/>
        <v>-442</v>
      </c>
      <c r="AD12">
        <f t="shared" si="8"/>
        <v>-91</v>
      </c>
      <c r="AE12">
        <f t="shared" si="8"/>
        <v>261</v>
      </c>
      <c r="AF12">
        <f t="shared" si="8"/>
        <v>604</v>
      </c>
      <c r="AG12">
        <f t="shared" si="8"/>
        <v>918</v>
      </c>
    </row>
    <row r="13" spans="1:33" ht="13.8" x14ac:dyDescent="0.3">
      <c r="A13" s="4" t="s">
        <v>76</v>
      </c>
      <c r="B13" s="6">
        <v>140000</v>
      </c>
      <c r="D13" s="238" t="s">
        <v>52</v>
      </c>
      <c r="E13" s="239"/>
      <c r="F13" s="240">
        <v>0</v>
      </c>
      <c r="P13" s="3"/>
      <c r="Q13" s="116">
        <f t="shared" si="10"/>
        <v>166000</v>
      </c>
      <c r="R13" s="3">
        <v>-1208</v>
      </c>
      <c r="S13" s="3">
        <v>-857</v>
      </c>
      <c r="T13" s="3">
        <v>-505</v>
      </c>
      <c r="U13" s="3">
        <v>-154</v>
      </c>
      <c r="V13" s="3">
        <v>197</v>
      </c>
      <c r="W13" s="3">
        <v>541</v>
      </c>
      <c r="X13" s="3">
        <v>855</v>
      </c>
      <c r="Z13">
        <f t="shared" si="9"/>
        <v>166</v>
      </c>
      <c r="AA13">
        <f t="shared" si="8"/>
        <v>-1208</v>
      </c>
      <c r="AB13">
        <f t="shared" si="8"/>
        <v>-857</v>
      </c>
      <c r="AC13">
        <f t="shared" si="8"/>
        <v>-505</v>
      </c>
      <c r="AD13">
        <f t="shared" si="8"/>
        <v>-154</v>
      </c>
      <c r="AE13">
        <f t="shared" si="8"/>
        <v>197</v>
      </c>
      <c r="AF13">
        <f t="shared" si="8"/>
        <v>541</v>
      </c>
      <c r="AG13">
        <f t="shared" si="8"/>
        <v>855</v>
      </c>
    </row>
    <row r="14" spans="1:33" ht="13.8" x14ac:dyDescent="0.3">
      <c r="A14" s="4" t="s">
        <v>45</v>
      </c>
      <c r="B14" s="83">
        <v>4</v>
      </c>
      <c r="C14" s="84" t="str">
        <f>IF(COUNT(M23:M122)=B14,IF(B15&lt;B14*L19,"Total Rent Seems Low - Check Assumptions",""),"Enter Rent For All Units")</f>
        <v/>
      </c>
      <c r="D14" s="3"/>
      <c r="E14" s="3"/>
      <c r="P14" s="3"/>
      <c r="Q14" s="116">
        <f t="shared" si="10"/>
        <v>176000</v>
      </c>
      <c r="R14" s="3">
        <v>-1271</v>
      </c>
      <c r="S14" s="3">
        <v>-920</v>
      </c>
      <c r="T14" s="3">
        <v>-569</v>
      </c>
      <c r="U14" s="3">
        <v>-217</v>
      </c>
      <c r="V14" s="3">
        <v>134</v>
      </c>
      <c r="W14" s="3">
        <v>477</v>
      </c>
      <c r="X14" s="3">
        <v>792</v>
      </c>
      <c r="Z14">
        <f t="shared" si="9"/>
        <v>176</v>
      </c>
      <c r="AA14">
        <f t="shared" si="8"/>
        <v>-1271</v>
      </c>
      <c r="AB14">
        <f t="shared" si="8"/>
        <v>-920</v>
      </c>
      <c r="AC14">
        <f t="shared" si="8"/>
        <v>-569</v>
      </c>
      <c r="AD14">
        <f t="shared" si="8"/>
        <v>-217</v>
      </c>
      <c r="AE14">
        <f t="shared" si="8"/>
        <v>134</v>
      </c>
      <c r="AF14">
        <f t="shared" si="8"/>
        <v>477</v>
      </c>
      <c r="AG14">
        <f t="shared" si="8"/>
        <v>792</v>
      </c>
    </row>
    <row r="15" spans="1:33" ht="13.8" x14ac:dyDescent="0.3">
      <c r="A15" s="4" t="s">
        <v>77</v>
      </c>
      <c r="B15" s="8">
        <f>L21</f>
        <v>2700</v>
      </c>
      <c r="P15" s="3"/>
      <c r="Q15" s="116">
        <f t="shared" si="10"/>
        <v>186000</v>
      </c>
      <c r="R15" s="3">
        <v>-1334</v>
      </c>
      <c r="S15" s="3">
        <v>-983</v>
      </c>
      <c r="T15" s="3">
        <v>-632</v>
      </c>
      <c r="U15" s="3">
        <v>-280</v>
      </c>
      <c r="V15" s="3">
        <v>71</v>
      </c>
      <c r="W15" s="3">
        <v>414</v>
      </c>
      <c r="X15" s="3">
        <v>729</v>
      </c>
      <c r="Z15">
        <f t="shared" si="9"/>
        <v>186</v>
      </c>
      <c r="AA15">
        <f t="shared" si="8"/>
        <v>-1334</v>
      </c>
      <c r="AB15">
        <f t="shared" si="8"/>
        <v>-983</v>
      </c>
      <c r="AC15">
        <f t="shared" si="8"/>
        <v>-632</v>
      </c>
      <c r="AD15">
        <f t="shared" si="8"/>
        <v>-280</v>
      </c>
      <c r="AE15">
        <f t="shared" si="8"/>
        <v>71</v>
      </c>
      <c r="AF15">
        <f t="shared" si="8"/>
        <v>414</v>
      </c>
      <c r="AG15">
        <f t="shared" si="8"/>
        <v>729</v>
      </c>
    </row>
    <row r="16" spans="1:33" ht="13.8" x14ac:dyDescent="0.3">
      <c r="A16" s="4" t="s">
        <v>78</v>
      </c>
      <c r="B16" s="108">
        <f>B15*12</f>
        <v>32400</v>
      </c>
      <c r="C16" s="4"/>
      <c r="D16" s="3"/>
      <c r="E16" s="3"/>
      <c r="P16" s="3"/>
      <c r="Q16" s="116"/>
      <c r="R16" s="3"/>
      <c r="S16" s="3"/>
      <c r="T16" s="3"/>
      <c r="U16" s="3"/>
      <c r="V16" s="3"/>
      <c r="W16" s="3"/>
      <c r="X16" s="3"/>
    </row>
    <row r="17" spans="1:24" ht="13.8" x14ac:dyDescent="0.3">
      <c r="A17" s="64" t="str">
        <f>"Annual Revenue ("&amp;TEXT(B6,"0%")&amp;" vacancy)"</f>
        <v>Annual Revenue (8% vacancy)</v>
      </c>
      <c r="B17" s="109">
        <f>B16*(1-B6)</f>
        <v>29808</v>
      </c>
      <c r="C17" s="3"/>
      <c r="D17" s="3"/>
      <c r="E17" s="3"/>
      <c r="P17" s="3"/>
      <c r="Q17" s="116"/>
      <c r="R17" s="3"/>
      <c r="S17" s="3"/>
      <c r="T17" s="3"/>
      <c r="U17" s="3"/>
      <c r="V17" s="3"/>
      <c r="W17" s="3"/>
      <c r="X17" s="3"/>
    </row>
    <row r="18" spans="1:24" ht="13.8" x14ac:dyDescent="0.3">
      <c r="A18" s="3"/>
      <c r="B18" s="3"/>
      <c r="C18" s="3"/>
      <c r="D18" s="3"/>
      <c r="E18" s="3"/>
      <c r="P18" s="3"/>
      <c r="Q18" s="116"/>
      <c r="R18" s="3"/>
      <c r="S18" s="3"/>
      <c r="T18" s="3"/>
      <c r="U18" s="3"/>
      <c r="V18" s="3"/>
      <c r="W18" s="3"/>
      <c r="X18" s="3"/>
    </row>
    <row r="19" spans="1:2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650</v>
      </c>
      <c r="M19" s="86" t="s">
        <v>80</v>
      </c>
      <c r="N19" s="87"/>
      <c r="P19" s="3"/>
      <c r="Q19" s="116"/>
      <c r="R19" s="3"/>
      <c r="S19" s="3"/>
      <c r="T19" s="3"/>
      <c r="U19" s="3"/>
      <c r="V19" s="3"/>
      <c r="W19" s="3"/>
      <c r="X19" s="3"/>
    </row>
    <row r="20" spans="1:24" ht="13.8" x14ac:dyDescent="0.3">
      <c r="A20" s="3" t="s">
        <v>23</v>
      </c>
      <c r="B20" s="88">
        <f>MAX(ROUND(C20*(B17/12),2),E20)</f>
        <v>248.4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  <c r="P20" s="3"/>
      <c r="Q20" s="116"/>
      <c r="R20" s="3"/>
      <c r="S20" s="3"/>
      <c r="T20" s="3"/>
      <c r="U20" s="3"/>
      <c r="V20" s="3"/>
      <c r="W20" s="3"/>
      <c r="X20" s="3"/>
    </row>
    <row r="21" spans="1:24" ht="14.4" x14ac:dyDescent="0.3">
      <c r="A21" s="3" t="s">
        <v>24</v>
      </c>
      <c r="B21" s="88">
        <f>ROUND(B15*C21/E21,2)</f>
        <v>112.5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2700</v>
      </c>
      <c r="M21" s="93" t="s">
        <v>84</v>
      </c>
      <c r="N21" s="91"/>
      <c r="P21" s="3"/>
      <c r="Q21" s="116"/>
      <c r="R21" s="3"/>
      <c r="S21" s="3"/>
      <c r="T21" s="3"/>
      <c r="U21" s="3"/>
      <c r="V21" s="3"/>
      <c r="W21" s="3"/>
      <c r="X21" s="3"/>
    </row>
    <row r="22" spans="1:24" ht="13.8" x14ac:dyDescent="0.3">
      <c r="A22" s="3" t="s">
        <v>25</v>
      </c>
      <c r="B22" s="88">
        <f>(C22*B14/12)*(1-B6)</f>
        <v>36.800000000000004</v>
      </c>
      <c r="C22" s="94">
        <v>120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  <c r="P22" s="3"/>
      <c r="Q22" s="116"/>
      <c r="R22" s="3"/>
      <c r="S22" s="3"/>
      <c r="T22" s="3"/>
      <c r="U22" s="3"/>
      <c r="V22" s="3"/>
      <c r="W22" s="3"/>
      <c r="X22" s="3"/>
    </row>
    <row r="23" spans="1:24" ht="14.4" x14ac:dyDescent="0.3">
      <c r="A23" s="3" t="s">
        <v>26</v>
      </c>
      <c r="B23" s="88">
        <f>(C23*B14/12)*(1-B6)</f>
        <v>73.600000000000009</v>
      </c>
      <c r="C23" s="94">
        <v>240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1050</v>
      </c>
      <c r="L23" s="95">
        <v>1</v>
      </c>
      <c r="M23" s="97">
        <v>700</v>
      </c>
      <c r="N23" s="91"/>
      <c r="Q23" s="93"/>
    </row>
    <row r="24" spans="1:2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700</v>
      </c>
      <c r="N24" s="91"/>
      <c r="Q24" s="93"/>
    </row>
    <row r="25" spans="1:2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650</v>
      </c>
      <c r="N25" s="91"/>
      <c r="Q25" s="93"/>
    </row>
    <row r="26" spans="1:24" ht="14.4" x14ac:dyDescent="0.3">
      <c r="A26" s="3" t="s">
        <v>29</v>
      </c>
      <c r="B26" s="88">
        <f>C26*B14</f>
        <v>40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11">L25+1</f>
        <v>4</v>
      </c>
      <c r="M26" s="97">
        <v>650</v>
      </c>
      <c r="N26" s="91"/>
      <c r="Q26" s="93"/>
    </row>
    <row r="27" spans="1:24" ht="14.4" x14ac:dyDescent="0.3">
      <c r="A27" s="3" t="s">
        <v>30</v>
      </c>
      <c r="B27" s="88">
        <f>F28/12</f>
        <v>175</v>
      </c>
      <c r="C27" s="98">
        <f>F27*B13/B14</f>
        <v>525</v>
      </c>
      <c r="D27" s="3" t="s">
        <v>85</v>
      </c>
      <c r="E27" s="3"/>
      <c r="F27" s="99">
        <v>1.4999999999999999E-2</v>
      </c>
      <c r="G27" s="3" t="s">
        <v>89</v>
      </c>
      <c r="H27" s="3"/>
      <c r="I27" s="4" t="s">
        <v>10</v>
      </c>
      <c r="J27" s="6">
        <v>50</v>
      </c>
      <c r="L27" s="95">
        <f t="shared" si="11"/>
        <v>5</v>
      </c>
      <c r="M27" s="97"/>
      <c r="N27" s="91"/>
      <c r="Q27" s="93"/>
    </row>
    <row r="28" spans="1:24" ht="14.4" x14ac:dyDescent="0.3">
      <c r="A28" s="3" t="s">
        <v>55</v>
      </c>
      <c r="B28" s="88">
        <f>-ROUND(PMT(F4/12,F3*12,F2),2)</f>
        <v>885.71</v>
      </c>
      <c r="C28" s="3"/>
      <c r="D28" s="3"/>
      <c r="E28" s="3"/>
      <c r="F28" s="98">
        <f>F27*B13</f>
        <v>2100</v>
      </c>
      <c r="G28" s="3" t="s">
        <v>90</v>
      </c>
      <c r="H28" s="3"/>
      <c r="I28" s="4" t="s">
        <v>11</v>
      </c>
      <c r="J28" s="6">
        <v>600</v>
      </c>
      <c r="L28" s="95">
        <f t="shared" si="11"/>
        <v>6</v>
      </c>
      <c r="M28" s="97"/>
      <c r="N28" s="91"/>
      <c r="Q28" s="93"/>
    </row>
    <row r="29" spans="1:2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11"/>
        <v>7</v>
      </c>
      <c r="M29" s="97"/>
      <c r="N29" s="91"/>
      <c r="Q29" s="93"/>
    </row>
    <row r="30" spans="1:24" ht="14.4" x14ac:dyDescent="0.3">
      <c r="A30" s="3" t="s">
        <v>32</v>
      </c>
      <c r="B30" s="88">
        <f>ROUND(C30/12,2)</f>
        <v>333.33</v>
      </c>
      <c r="C30" s="94">
        <v>4000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11"/>
        <v>8</v>
      </c>
      <c r="M30" s="97"/>
      <c r="N30" s="91"/>
      <c r="Q30" s="93"/>
    </row>
    <row r="31" spans="1:2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11"/>
        <v>9</v>
      </c>
      <c r="M31" s="97"/>
      <c r="N31" s="91"/>
      <c r="Q31" s="93"/>
    </row>
    <row r="32" spans="1:24" ht="14.4" x14ac:dyDescent="0.3">
      <c r="A32" s="3" t="s">
        <v>34</v>
      </c>
      <c r="B32" s="100">
        <f>ROUND(C32/12,2)</f>
        <v>384.75</v>
      </c>
      <c r="C32" s="94">
        <v>4617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11"/>
        <v>10</v>
      </c>
      <c r="M32" s="97"/>
      <c r="N32" s="91"/>
      <c r="Q32" s="93"/>
    </row>
    <row r="33" spans="1:14" ht="14.4" x14ac:dyDescent="0.3">
      <c r="A33" s="101" t="s">
        <v>12</v>
      </c>
      <c r="B33" s="100">
        <f>SUM(B20:B32)</f>
        <v>2290.09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11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193.90999999999985</v>
      </c>
      <c r="C34" s="3"/>
      <c r="D34" s="3"/>
      <c r="E34" s="3"/>
      <c r="J34" s="26"/>
      <c r="L34" s="95">
        <f t="shared" si="11"/>
        <v>12</v>
      </c>
      <c r="M34" s="97"/>
      <c r="N34" s="91"/>
    </row>
    <row r="35" spans="1:14" ht="14.4" x14ac:dyDescent="0.3">
      <c r="J35" s="26"/>
      <c r="L35" s="95">
        <f t="shared" si="11"/>
        <v>13</v>
      </c>
      <c r="M35" s="97"/>
      <c r="N35" s="91"/>
    </row>
    <row r="36" spans="1:14" ht="14.4" x14ac:dyDescent="0.3">
      <c r="J36" s="26"/>
      <c r="L36" s="95">
        <f t="shared" si="11"/>
        <v>14</v>
      </c>
      <c r="M36" s="97"/>
      <c r="N36" s="91"/>
    </row>
    <row r="37" spans="1:14" ht="14.4" x14ac:dyDescent="0.3">
      <c r="J37" s="26"/>
      <c r="L37" s="95">
        <f t="shared" si="11"/>
        <v>15</v>
      </c>
      <c r="M37" s="97"/>
      <c r="N37" s="91"/>
    </row>
    <row r="38" spans="1:14" ht="14.4" x14ac:dyDescent="0.3">
      <c r="J38" s="26"/>
      <c r="L38" s="95">
        <f t="shared" si="11"/>
        <v>16</v>
      </c>
      <c r="M38" s="97"/>
      <c r="N38" s="91"/>
    </row>
    <row r="39" spans="1:14" ht="14.4" x14ac:dyDescent="0.3">
      <c r="J39" s="26"/>
      <c r="L39" s="95">
        <f t="shared" si="11"/>
        <v>17</v>
      </c>
      <c r="M39" s="97"/>
      <c r="N39" s="91"/>
    </row>
    <row r="40" spans="1:14" ht="14.4" x14ac:dyDescent="0.3">
      <c r="L40" s="95">
        <f t="shared" si="11"/>
        <v>18</v>
      </c>
      <c r="M40" s="97"/>
      <c r="N40" s="91"/>
    </row>
    <row r="41" spans="1:14" ht="14.4" x14ac:dyDescent="0.3">
      <c r="L41" s="95">
        <f t="shared" si="11"/>
        <v>19</v>
      </c>
      <c r="M41" s="97"/>
      <c r="N41" s="91"/>
    </row>
    <row r="42" spans="1:14" ht="14.4" x14ac:dyDescent="0.3">
      <c r="L42" s="95">
        <f t="shared" si="11"/>
        <v>20</v>
      </c>
      <c r="M42" s="97"/>
      <c r="N42" s="91"/>
    </row>
    <row r="43" spans="1:14" ht="14.4" x14ac:dyDescent="0.3">
      <c r="L43" s="95">
        <f t="shared" si="11"/>
        <v>21</v>
      </c>
      <c r="M43" s="97"/>
      <c r="N43" s="91"/>
    </row>
    <row r="44" spans="1:14" ht="14.4" x14ac:dyDescent="0.3">
      <c r="L44" s="95">
        <f t="shared" si="11"/>
        <v>22</v>
      </c>
      <c r="M44" s="97"/>
      <c r="N44" s="91"/>
    </row>
    <row r="45" spans="1:14" ht="14.4" x14ac:dyDescent="0.3">
      <c r="L45" s="95">
        <f t="shared" si="11"/>
        <v>23</v>
      </c>
      <c r="M45" s="97"/>
      <c r="N45" s="91"/>
    </row>
    <row r="46" spans="1:14" ht="14.4" x14ac:dyDescent="0.3">
      <c r="L46" s="95">
        <f t="shared" si="11"/>
        <v>24</v>
      </c>
      <c r="M46" s="97"/>
      <c r="N46" s="91"/>
    </row>
    <row r="47" spans="1:14" ht="14.4" x14ac:dyDescent="0.3">
      <c r="L47" s="95">
        <f t="shared" si="11"/>
        <v>25</v>
      </c>
      <c r="M47" s="97"/>
      <c r="N47" s="91"/>
    </row>
    <row r="48" spans="1:14" ht="14.4" x14ac:dyDescent="0.3">
      <c r="L48" s="95">
        <f t="shared" si="11"/>
        <v>26</v>
      </c>
      <c r="M48" s="97"/>
      <c r="N48" s="91"/>
    </row>
    <row r="49" spans="12:14" ht="14.4" x14ac:dyDescent="0.3">
      <c r="L49" s="95">
        <f t="shared" si="11"/>
        <v>27</v>
      </c>
      <c r="M49" s="97"/>
      <c r="N49" s="91"/>
    </row>
    <row r="50" spans="12:14" ht="14.4" x14ac:dyDescent="0.3">
      <c r="L50" s="95">
        <f t="shared" si="11"/>
        <v>28</v>
      </c>
      <c r="M50" s="97"/>
      <c r="N50" s="91"/>
    </row>
    <row r="51" spans="12:14" ht="14.4" x14ac:dyDescent="0.3">
      <c r="L51" s="95">
        <f t="shared" si="11"/>
        <v>29</v>
      </c>
      <c r="M51" s="97"/>
      <c r="N51" s="91"/>
    </row>
    <row r="52" spans="12:14" ht="14.4" x14ac:dyDescent="0.3">
      <c r="L52" s="95">
        <f t="shared" si="11"/>
        <v>30</v>
      </c>
      <c r="M52" s="97"/>
      <c r="N52" s="91"/>
    </row>
    <row r="53" spans="12:14" ht="14.4" x14ac:dyDescent="0.3">
      <c r="L53" s="95">
        <f t="shared" si="11"/>
        <v>31</v>
      </c>
      <c r="M53" s="97"/>
      <c r="N53" s="91"/>
    </row>
    <row r="54" spans="12:14" ht="14.4" x14ac:dyDescent="0.3">
      <c r="L54" s="95">
        <f t="shared" si="11"/>
        <v>32</v>
      </c>
      <c r="M54" s="97"/>
      <c r="N54" s="91"/>
    </row>
    <row r="55" spans="12:14" ht="14.4" x14ac:dyDescent="0.3">
      <c r="L55" s="95">
        <f t="shared" si="11"/>
        <v>33</v>
      </c>
      <c r="M55" s="97"/>
      <c r="N55" s="91"/>
    </row>
    <row r="56" spans="12:14" ht="14.4" x14ac:dyDescent="0.3">
      <c r="L56" s="95">
        <f t="shared" si="11"/>
        <v>34</v>
      </c>
      <c r="M56" s="97"/>
      <c r="N56" s="91"/>
    </row>
    <row r="57" spans="12:14" ht="14.4" x14ac:dyDescent="0.3">
      <c r="L57" s="95">
        <f t="shared" si="11"/>
        <v>35</v>
      </c>
      <c r="M57" s="97"/>
      <c r="N57" s="91"/>
    </row>
    <row r="58" spans="12:14" ht="14.4" x14ac:dyDescent="0.3">
      <c r="L58" s="95">
        <f t="shared" si="11"/>
        <v>36</v>
      </c>
      <c r="M58" s="97"/>
      <c r="N58" s="91"/>
    </row>
    <row r="59" spans="12:14" ht="14.4" x14ac:dyDescent="0.3">
      <c r="L59" s="95">
        <f t="shared" si="11"/>
        <v>37</v>
      </c>
      <c r="M59" s="97"/>
      <c r="N59" s="91"/>
    </row>
    <row r="60" spans="12:14" ht="14.4" x14ac:dyDescent="0.3">
      <c r="L60" s="95">
        <f t="shared" si="11"/>
        <v>38</v>
      </c>
      <c r="M60" s="97"/>
      <c r="N60" s="91"/>
    </row>
    <row r="61" spans="12:14" ht="14.4" x14ac:dyDescent="0.3">
      <c r="L61" s="95">
        <f t="shared" si="11"/>
        <v>39</v>
      </c>
      <c r="M61" s="97"/>
      <c r="N61" s="91"/>
    </row>
    <row r="62" spans="12:14" ht="14.4" x14ac:dyDescent="0.3">
      <c r="L62" s="95">
        <f t="shared" si="11"/>
        <v>40</v>
      </c>
      <c r="M62" s="97"/>
      <c r="N62" s="91"/>
    </row>
    <row r="63" spans="12:14" ht="14.4" x14ac:dyDescent="0.3">
      <c r="L63" s="95">
        <f t="shared" si="11"/>
        <v>41</v>
      </c>
      <c r="M63" s="97"/>
      <c r="N63" s="91"/>
    </row>
    <row r="64" spans="12:14" ht="14.4" x14ac:dyDescent="0.3">
      <c r="L64" s="95">
        <f t="shared" si="11"/>
        <v>42</v>
      </c>
      <c r="M64" s="97"/>
      <c r="N64" s="91"/>
    </row>
    <row r="65" spans="12:14" ht="14.4" x14ac:dyDescent="0.3">
      <c r="L65" s="95">
        <f t="shared" si="11"/>
        <v>43</v>
      </c>
      <c r="M65" s="97"/>
      <c r="N65" s="91"/>
    </row>
    <row r="66" spans="12:14" ht="14.4" x14ac:dyDescent="0.3">
      <c r="L66" s="95">
        <f t="shared" si="11"/>
        <v>44</v>
      </c>
      <c r="M66" s="97"/>
      <c r="N66" s="91"/>
    </row>
    <row r="67" spans="12:14" ht="14.4" x14ac:dyDescent="0.3">
      <c r="L67" s="95">
        <f t="shared" si="11"/>
        <v>45</v>
      </c>
      <c r="M67" s="97"/>
      <c r="N67" s="91"/>
    </row>
    <row r="68" spans="12:14" ht="14.4" x14ac:dyDescent="0.3">
      <c r="L68" s="95">
        <f t="shared" si="11"/>
        <v>46</v>
      </c>
      <c r="M68" s="97"/>
      <c r="N68" s="91"/>
    </row>
    <row r="69" spans="12:14" ht="14.4" x14ac:dyDescent="0.3">
      <c r="L69" s="95">
        <f t="shared" si="11"/>
        <v>47</v>
      </c>
      <c r="M69" s="97"/>
      <c r="N69" s="91"/>
    </row>
    <row r="70" spans="12:14" ht="14.4" x14ac:dyDescent="0.3">
      <c r="L70" s="95">
        <f t="shared" si="11"/>
        <v>48</v>
      </c>
      <c r="M70" s="97"/>
      <c r="N70" s="91"/>
    </row>
    <row r="71" spans="12:14" ht="14.4" x14ac:dyDescent="0.3">
      <c r="L71" s="95">
        <f t="shared" si="11"/>
        <v>49</v>
      </c>
      <c r="M71" s="97"/>
      <c r="N71" s="91"/>
    </row>
    <row r="72" spans="12:14" ht="14.4" x14ac:dyDescent="0.3">
      <c r="L72" s="95">
        <f t="shared" si="11"/>
        <v>50</v>
      </c>
      <c r="M72" s="97"/>
      <c r="N72" s="91"/>
    </row>
    <row r="73" spans="12:14" ht="14.4" x14ac:dyDescent="0.3">
      <c r="L73" s="95">
        <f t="shared" si="11"/>
        <v>51</v>
      </c>
      <c r="M73" s="97"/>
      <c r="N73" s="91"/>
    </row>
    <row r="74" spans="12:14" ht="14.4" x14ac:dyDescent="0.3">
      <c r="L74" s="95">
        <f t="shared" si="11"/>
        <v>52</v>
      </c>
      <c r="M74" s="97"/>
      <c r="N74" s="91"/>
    </row>
    <row r="75" spans="12:14" ht="14.4" x14ac:dyDescent="0.3">
      <c r="L75" s="95">
        <f t="shared" si="11"/>
        <v>53</v>
      </c>
      <c r="M75" s="97"/>
      <c r="N75" s="91"/>
    </row>
    <row r="76" spans="12:14" ht="14.4" x14ac:dyDescent="0.3">
      <c r="L76" s="95">
        <f t="shared" si="11"/>
        <v>54</v>
      </c>
      <c r="M76" s="97"/>
      <c r="N76" s="91"/>
    </row>
    <row r="77" spans="12:14" ht="14.4" x14ac:dyDescent="0.3">
      <c r="L77" s="95">
        <f t="shared" si="11"/>
        <v>55</v>
      </c>
      <c r="M77" s="97"/>
      <c r="N77" s="91"/>
    </row>
    <row r="78" spans="12:14" ht="14.4" x14ac:dyDescent="0.3">
      <c r="L78" s="95">
        <f t="shared" si="11"/>
        <v>56</v>
      </c>
      <c r="M78" s="97"/>
      <c r="N78" s="91"/>
    </row>
    <row r="79" spans="12:14" ht="14.4" x14ac:dyDescent="0.3">
      <c r="L79" s="95">
        <f t="shared" si="11"/>
        <v>57</v>
      </c>
      <c r="M79" s="97"/>
      <c r="N79" s="91"/>
    </row>
    <row r="80" spans="12:14" ht="14.4" x14ac:dyDescent="0.3">
      <c r="L80" s="95">
        <f t="shared" si="11"/>
        <v>58</v>
      </c>
      <c r="M80" s="97"/>
      <c r="N80" s="91"/>
    </row>
    <row r="81" spans="12:14" ht="14.4" x14ac:dyDescent="0.3">
      <c r="L81" s="95">
        <f t="shared" si="11"/>
        <v>59</v>
      </c>
      <c r="M81" s="97"/>
      <c r="N81" s="91"/>
    </row>
    <row r="82" spans="12:14" ht="14.4" x14ac:dyDescent="0.3">
      <c r="L82" s="95">
        <f t="shared" si="11"/>
        <v>60</v>
      </c>
      <c r="M82" s="97"/>
      <c r="N82" s="91"/>
    </row>
    <row r="83" spans="12:14" ht="14.4" x14ac:dyDescent="0.3">
      <c r="L83" s="95">
        <f t="shared" si="11"/>
        <v>61</v>
      </c>
      <c r="M83" s="97"/>
      <c r="N83" s="91"/>
    </row>
    <row r="84" spans="12:14" ht="14.4" x14ac:dyDescent="0.3">
      <c r="L84" s="95">
        <f t="shared" si="11"/>
        <v>62</v>
      </c>
      <c r="M84" s="97"/>
      <c r="N84" s="91"/>
    </row>
    <row r="85" spans="12:14" ht="14.4" x14ac:dyDescent="0.3">
      <c r="L85" s="95">
        <f t="shared" si="11"/>
        <v>63</v>
      </c>
      <c r="M85" s="97"/>
      <c r="N85" s="91"/>
    </row>
    <row r="86" spans="12:14" ht="14.4" x14ac:dyDescent="0.3">
      <c r="L86" s="95">
        <f t="shared" si="11"/>
        <v>64</v>
      </c>
      <c r="M86" s="97"/>
      <c r="N86" s="91"/>
    </row>
    <row r="87" spans="12:14" ht="14.4" x14ac:dyDescent="0.3">
      <c r="L87" s="95">
        <f t="shared" si="11"/>
        <v>65</v>
      </c>
      <c r="M87" s="97"/>
      <c r="N87" s="91"/>
    </row>
    <row r="88" spans="12:14" ht="14.4" x14ac:dyDescent="0.3">
      <c r="L88" s="95">
        <f t="shared" si="11"/>
        <v>66</v>
      </c>
      <c r="M88" s="97"/>
      <c r="N88" s="91"/>
    </row>
    <row r="89" spans="12:14" ht="14.4" x14ac:dyDescent="0.3">
      <c r="L89" s="95">
        <f t="shared" si="11"/>
        <v>67</v>
      </c>
      <c r="M89" s="97"/>
      <c r="N89" s="91"/>
    </row>
    <row r="90" spans="12:14" ht="14.4" x14ac:dyDescent="0.3">
      <c r="L90" s="95">
        <f t="shared" ref="L90:L122" si="12">L89+1</f>
        <v>68</v>
      </c>
      <c r="M90" s="97"/>
      <c r="N90" s="91"/>
    </row>
    <row r="91" spans="12:14" ht="14.4" x14ac:dyDescent="0.3">
      <c r="L91" s="95">
        <f t="shared" si="12"/>
        <v>69</v>
      </c>
      <c r="M91" s="97"/>
      <c r="N91" s="91"/>
    </row>
    <row r="92" spans="12:14" ht="14.4" x14ac:dyDescent="0.3">
      <c r="L92" s="95">
        <f t="shared" si="12"/>
        <v>70</v>
      </c>
      <c r="M92" s="97"/>
      <c r="N92" s="91"/>
    </row>
    <row r="93" spans="12:14" ht="14.4" x14ac:dyDescent="0.3">
      <c r="L93" s="95">
        <f t="shared" si="12"/>
        <v>71</v>
      </c>
      <c r="M93" s="97"/>
      <c r="N93" s="91"/>
    </row>
    <row r="94" spans="12:14" ht="14.4" x14ac:dyDescent="0.3">
      <c r="L94" s="95">
        <f t="shared" si="12"/>
        <v>72</v>
      </c>
      <c r="M94" s="97"/>
      <c r="N94" s="91"/>
    </row>
    <row r="95" spans="12:14" ht="14.4" x14ac:dyDescent="0.3">
      <c r="L95" s="95">
        <f t="shared" si="12"/>
        <v>73</v>
      </c>
      <c r="M95" s="97"/>
      <c r="N95" s="91"/>
    </row>
    <row r="96" spans="12:14" ht="14.4" x14ac:dyDescent="0.3">
      <c r="L96" s="95">
        <f t="shared" si="12"/>
        <v>74</v>
      </c>
      <c r="M96" s="97"/>
      <c r="N96" s="91"/>
    </row>
    <row r="97" spans="12:14" ht="14.4" x14ac:dyDescent="0.3">
      <c r="L97" s="95">
        <f t="shared" si="12"/>
        <v>75</v>
      </c>
      <c r="M97" s="97"/>
      <c r="N97" s="91"/>
    </row>
    <row r="98" spans="12:14" ht="14.4" x14ac:dyDescent="0.3">
      <c r="L98" s="95">
        <f t="shared" si="12"/>
        <v>76</v>
      </c>
      <c r="M98" s="97"/>
      <c r="N98" s="91"/>
    </row>
    <row r="99" spans="12:14" ht="14.4" x14ac:dyDescent="0.3">
      <c r="L99" s="95">
        <f t="shared" si="12"/>
        <v>77</v>
      </c>
      <c r="M99" s="97"/>
      <c r="N99" s="91"/>
    </row>
    <row r="100" spans="12:14" ht="14.4" x14ac:dyDescent="0.3">
      <c r="L100" s="95">
        <f t="shared" si="12"/>
        <v>78</v>
      </c>
      <c r="M100" s="97"/>
      <c r="N100" s="91"/>
    </row>
    <row r="101" spans="12:14" ht="14.4" x14ac:dyDescent="0.3">
      <c r="L101" s="95">
        <f t="shared" si="12"/>
        <v>79</v>
      </c>
      <c r="M101" s="97"/>
      <c r="N101" s="91"/>
    </row>
    <row r="102" spans="12:14" ht="14.4" x14ac:dyDescent="0.3">
      <c r="L102" s="95">
        <f t="shared" si="12"/>
        <v>80</v>
      </c>
      <c r="M102" s="97"/>
      <c r="N102" s="91"/>
    </row>
    <row r="103" spans="12:14" ht="14.4" x14ac:dyDescent="0.3">
      <c r="L103" s="95">
        <f t="shared" si="12"/>
        <v>81</v>
      </c>
      <c r="M103" s="97"/>
      <c r="N103" s="91"/>
    </row>
    <row r="104" spans="12:14" ht="14.4" x14ac:dyDescent="0.3">
      <c r="L104" s="95">
        <f t="shared" si="12"/>
        <v>82</v>
      </c>
      <c r="M104" s="97"/>
      <c r="N104" s="91"/>
    </row>
    <row r="105" spans="12:14" ht="14.4" x14ac:dyDescent="0.3">
      <c r="L105" s="95">
        <f t="shared" si="12"/>
        <v>83</v>
      </c>
      <c r="M105" s="97"/>
      <c r="N105" s="91"/>
    </row>
    <row r="106" spans="12:14" ht="14.4" x14ac:dyDescent="0.3">
      <c r="L106" s="95">
        <f t="shared" si="12"/>
        <v>84</v>
      </c>
      <c r="M106" s="97"/>
      <c r="N106" s="91"/>
    </row>
    <row r="107" spans="12:14" ht="14.4" x14ac:dyDescent="0.3">
      <c r="L107" s="95">
        <f t="shared" si="12"/>
        <v>85</v>
      </c>
      <c r="M107" s="97"/>
      <c r="N107" s="91"/>
    </row>
    <row r="108" spans="12:14" ht="14.4" x14ac:dyDescent="0.3">
      <c r="L108" s="95">
        <f t="shared" si="12"/>
        <v>86</v>
      </c>
      <c r="M108" s="97"/>
      <c r="N108" s="91"/>
    </row>
    <row r="109" spans="12:14" ht="14.4" x14ac:dyDescent="0.3">
      <c r="L109" s="95">
        <f t="shared" si="12"/>
        <v>87</v>
      </c>
      <c r="M109" s="97"/>
      <c r="N109" s="91"/>
    </row>
    <row r="110" spans="12:14" ht="14.4" x14ac:dyDescent="0.3">
      <c r="L110" s="95">
        <f t="shared" si="12"/>
        <v>88</v>
      </c>
      <c r="M110" s="97"/>
      <c r="N110" s="91"/>
    </row>
    <row r="111" spans="12:14" ht="14.4" x14ac:dyDescent="0.3">
      <c r="L111" s="95">
        <f t="shared" si="12"/>
        <v>89</v>
      </c>
      <c r="M111" s="97"/>
      <c r="N111" s="91"/>
    </row>
    <row r="112" spans="12:14" ht="14.4" x14ac:dyDescent="0.3">
      <c r="L112" s="95">
        <f t="shared" si="12"/>
        <v>90</v>
      </c>
      <c r="M112" s="97"/>
      <c r="N112" s="91"/>
    </row>
    <row r="113" spans="11:14" ht="14.4" x14ac:dyDescent="0.3">
      <c r="L113" s="95">
        <f t="shared" si="12"/>
        <v>91</v>
      </c>
      <c r="M113" s="97"/>
      <c r="N113" s="91"/>
    </row>
    <row r="114" spans="11:14" ht="14.4" x14ac:dyDescent="0.3">
      <c r="L114" s="95">
        <f t="shared" si="12"/>
        <v>92</v>
      </c>
      <c r="M114" s="97"/>
      <c r="N114" s="91"/>
    </row>
    <row r="115" spans="11:14" ht="14.4" x14ac:dyDescent="0.3">
      <c r="L115" s="95">
        <f t="shared" si="12"/>
        <v>93</v>
      </c>
      <c r="M115" s="97"/>
      <c r="N115" s="91"/>
    </row>
    <row r="116" spans="11:14" ht="14.4" x14ac:dyDescent="0.3">
      <c r="L116" s="95">
        <f t="shared" si="12"/>
        <v>94</v>
      </c>
      <c r="M116" s="97"/>
      <c r="N116" s="91"/>
    </row>
    <row r="117" spans="11:14" ht="14.4" x14ac:dyDescent="0.3">
      <c r="K117" s="96"/>
      <c r="L117" s="95">
        <f t="shared" si="12"/>
        <v>95</v>
      </c>
      <c r="M117" s="97"/>
      <c r="N117" s="91"/>
    </row>
    <row r="118" spans="11:14" ht="14.4" x14ac:dyDescent="0.3">
      <c r="K118" s="96"/>
      <c r="L118" s="95">
        <f t="shared" si="12"/>
        <v>96</v>
      </c>
      <c r="M118" s="97"/>
      <c r="N118" s="91"/>
    </row>
    <row r="119" spans="11:14" ht="14.4" x14ac:dyDescent="0.3">
      <c r="K119" s="96"/>
      <c r="L119" s="95">
        <f t="shared" si="12"/>
        <v>97</v>
      </c>
      <c r="M119" s="97"/>
      <c r="N119" s="91"/>
    </row>
    <row r="120" spans="11:14" ht="14.4" x14ac:dyDescent="0.3">
      <c r="K120" s="96"/>
      <c r="L120" s="95">
        <f t="shared" si="12"/>
        <v>98</v>
      </c>
      <c r="M120" s="97"/>
      <c r="N120" s="91"/>
    </row>
    <row r="121" spans="11:14" ht="14.4" x14ac:dyDescent="0.3">
      <c r="K121" s="96"/>
      <c r="L121" s="95">
        <f t="shared" si="12"/>
        <v>99</v>
      </c>
      <c r="M121" s="97"/>
      <c r="N121" s="91"/>
    </row>
    <row r="122" spans="11:14" ht="14.4" x14ac:dyDescent="0.3">
      <c r="K122" s="96"/>
      <c r="L122" s="104">
        <f t="shared" si="12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229900</v>
      </c>
      <c r="H2" s="44" t="s">
        <v>53</v>
      </c>
      <c r="I2" s="45"/>
      <c r="J2" s="46">
        <f>IF(B4=0,"N/A",(B17/12-B33+B28)/B28)</f>
        <v>-0.43849607414435604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-3.3289691170073951E-2</v>
      </c>
      <c r="K3" s="51"/>
      <c r="L3" s="52"/>
    </row>
    <row r="4" spans="1:16" ht="14.4" x14ac:dyDescent="0.3">
      <c r="A4" s="4" t="s">
        <v>67</v>
      </c>
      <c r="B4" s="53">
        <v>1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-5.3091182068090506</v>
      </c>
      <c r="K4" s="12"/>
      <c r="L4" s="56"/>
      <c r="N4" s="57"/>
      <c r="O4" s="58"/>
      <c r="P4" s="59">
        <f>(12*B34-(CUMPRINC(F4/12,F3*12,F2,1,12,0)))</f>
        <v>-17850.337775181848</v>
      </c>
    </row>
    <row r="5" spans="1:16" ht="14.4" x14ac:dyDescent="0.3">
      <c r="A5" s="4" t="s">
        <v>70</v>
      </c>
      <c r="B5" s="60">
        <v>0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>
        <f>(F2+CUMPRINC(F4/12,F3*12,F2,1,L5*12,0))/(B13*(1+B7)^L5)</f>
        <v>0.45422402442725451</v>
      </c>
      <c r="K5" s="3" t="s">
        <v>74</v>
      </c>
      <c r="L5" s="60">
        <v>10</v>
      </c>
      <c r="N5" s="57"/>
      <c r="P5" s="62">
        <f>0.03636*(B12+B13)</f>
        <v>8359.1640000000007</v>
      </c>
    </row>
    <row r="6" spans="1:16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4729</v>
      </c>
      <c r="H6" s="55" t="s">
        <v>114</v>
      </c>
      <c r="I6" s="150"/>
      <c r="J6" s="227">
        <f>(B12+B13)-F2+F6+F5*F2-F9</f>
        <v>4729</v>
      </c>
      <c r="K6" s="12"/>
      <c r="L6" s="67"/>
      <c r="N6" s="57"/>
      <c r="P6" s="68">
        <f>P4-P5</f>
        <v>-26209.501775181849</v>
      </c>
    </row>
    <row r="7" spans="1:16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>
        <f>P6*B8</f>
        <v>-524.19003550363698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229900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229900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4</v>
      </c>
      <c r="C14" s="84" t="str">
        <f>IF(COUNT(M23:M122)=B14,IF(B15&lt;B14*L19,"Total Rent Seems Low - Check Assumptions",""),"Enter Rent For All Units")</f>
        <v>Total Rent Seems Low - Check Assumptions</v>
      </c>
      <c r="D14" s="3"/>
      <c r="E14" s="3"/>
    </row>
    <row r="15" spans="1:16" ht="13.8" x14ac:dyDescent="0.3">
      <c r="A15" s="4" t="s">
        <v>77</v>
      </c>
      <c r="B15" s="8">
        <f>L21</f>
        <v>0</v>
      </c>
    </row>
    <row r="16" spans="1:16" ht="13.8" x14ac:dyDescent="0.3">
      <c r="A16" s="4" t="s">
        <v>78</v>
      </c>
      <c r="B16" s="108">
        <f>B15*12</f>
        <v>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(8% vacancy)</v>
      </c>
      <c r="B17" s="109">
        <f>B16*(1-B6)</f>
        <v>0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800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200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0</v>
      </c>
      <c r="C21" s="89">
        <v>4.1666000000000002E-2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36.800000000000004</v>
      </c>
      <c r="C22" s="94">
        <v>120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73.600000000000009</v>
      </c>
      <c r="C23" s="94">
        <v>240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1724</v>
      </c>
      <c r="L23" s="95">
        <v>1</v>
      </c>
      <c r="M23" s="97">
        <v>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0</v>
      </c>
      <c r="N25" s="91"/>
    </row>
    <row r="26" spans="1:14" ht="14.4" x14ac:dyDescent="0.3">
      <c r="A26" s="3" t="s">
        <v>29</v>
      </c>
      <c r="B26" s="88">
        <f>C26*B14</f>
        <v>40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>
        <v>0</v>
      </c>
      <c r="N26" s="91"/>
    </row>
    <row r="27" spans="1:14" ht="14.4" x14ac:dyDescent="0.3">
      <c r="A27" s="3" t="s">
        <v>30</v>
      </c>
      <c r="B27" s="88">
        <f>F28/12</f>
        <v>287.375</v>
      </c>
      <c r="C27" s="98">
        <f>F27*B13/B14</f>
        <v>862.125</v>
      </c>
      <c r="D27" s="3" t="s">
        <v>85</v>
      </c>
      <c r="E27" s="3"/>
      <c r="F27" s="99">
        <v>1.4999999999999999E-2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/>
      <c r="N27" s="91"/>
    </row>
    <row r="28" spans="1:14" ht="14.4" x14ac:dyDescent="0.3">
      <c r="A28" s="3" t="s">
        <v>55</v>
      </c>
      <c r="B28" s="88">
        <f>-ROUND(PMT(F4/12,F3*12,F2),2)</f>
        <v>1454.46</v>
      </c>
      <c r="C28" s="3"/>
      <c r="D28" s="3"/>
      <c r="E28" s="3"/>
      <c r="F28" s="98">
        <f>F27*B13</f>
        <v>3448.5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/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/>
      <c r="N29" s="91"/>
    </row>
    <row r="30" spans="1:14" ht="14.4" x14ac:dyDescent="0.3">
      <c r="A30" s="3" t="s">
        <v>32</v>
      </c>
      <c r="B30" s="88">
        <f>ROUND(C30/12,2)</f>
        <v>0</v>
      </c>
      <c r="C30" s="94">
        <v>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/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0</v>
      </c>
      <c r="C32" s="94">
        <v>0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2092.2350000000001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-2092.2350000000001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228750</v>
      </c>
      <c r="H2" s="44" t="s">
        <v>53</v>
      </c>
      <c r="I2" s="45"/>
      <c r="J2" s="46">
        <f>IF(B4=0,"N/A",(B17/12-B33+B28)/B28)</f>
        <v>1.4067975409817184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8.0101114754098368E-2</v>
      </c>
      <c r="K3" s="51"/>
      <c r="L3" s="52"/>
    </row>
    <row r="4" spans="1:16" ht="14.4" x14ac:dyDescent="0.3">
      <c r="A4" s="4" t="s">
        <v>67</v>
      </c>
      <c r="B4" s="53">
        <v>0.75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8.6636007995781333E-2</v>
      </c>
      <c r="K4" s="12"/>
      <c r="L4" s="56"/>
      <c r="N4" s="57"/>
      <c r="O4" s="58"/>
      <c r="P4" s="59">
        <f>(12*B34-(CUMPRINC(F4/12,F3*12,F2,1,12,0)))</f>
        <v>14284.744031871038</v>
      </c>
    </row>
    <row r="5" spans="1:16" ht="14.4" x14ac:dyDescent="0.3">
      <c r="A5" s="4" t="s">
        <v>70</v>
      </c>
      <c r="B5" s="60">
        <v>5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>
        <f>(F2+CUMPRINC(F4/12,F3*12,F2,1,L5*12,0))/(B13*(1+B7)^L5)</f>
        <v>0.53503303624626386</v>
      </c>
      <c r="K5" s="3" t="s">
        <v>74</v>
      </c>
      <c r="L5" s="60">
        <f>B5</f>
        <v>5</v>
      </c>
      <c r="N5" s="57"/>
      <c r="P5" s="62">
        <f>0.03636*(B12+B13)</f>
        <v>11089.800000000001</v>
      </c>
    </row>
    <row r="6" spans="1:16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5293</v>
      </c>
      <c r="H6" s="55" t="s">
        <v>114</v>
      </c>
      <c r="I6" s="150"/>
      <c r="J6" s="227">
        <f>(B12+B13)-F2+F6+F5*F2-F9</f>
        <v>81543</v>
      </c>
      <c r="K6" s="12"/>
      <c r="L6" s="67"/>
      <c r="N6" s="57"/>
      <c r="P6" s="68">
        <f>P4-P5</f>
        <v>3194.9440318710367</v>
      </c>
    </row>
    <row r="7" spans="1:16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>
        <f>P6*B8</f>
        <v>63.898880637420739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305000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305000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5</v>
      </c>
      <c r="C14" s="84" t="str">
        <f>IF(COUNT(M23:M122)=B14,IF(B15&lt;B14*L19,"Total Rent Seems Low - Check Assumptions",""),"Enter Rent For All Units")</f>
        <v/>
      </c>
      <c r="D14" s="3"/>
      <c r="E14" s="3"/>
    </row>
    <row r="15" spans="1:16" ht="13.8" x14ac:dyDescent="0.3">
      <c r="A15" s="4" t="s">
        <v>77</v>
      </c>
      <c r="B15" s="8">
        <f>L21</f>
        <v>4050</v>
      </c>
    </row>
    <row r="16" spans="1:16" ht="13.8" x14ac:dyDescent="0.3">
      <c r="A16" s="4" t="s">
        <v>78</v>
      </c>
      <c r="B16" s="108">
        <f>B15*12</f>
        <v>48600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(8% vacancy)</v>
      </c>
      <c r="B17" s="109">
        <f>B16*(1-B6)</f>
        <v>44712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750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372.6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168.75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4050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42.166666666666671</v>
      </c>
      <c r="C22" s="94">
        <v>110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84.333333333333343</v>
      </c>
      <c r="C23" s="94">
        <v>220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2288</v>
      </c>
      <c r="L23" s="95">
        <v>1</v>
      </c>
      <c r="M23" s="97">
        <v>800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800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700</v>
      </c>
      <c r="N25" s="91"/>
    </row>
    <row r="26" spans="1:14" ht="14.4" x14ac:dyDescent="0.3">
      <c r="A26" s="3" t="s">
        <v>29</v>
      </c>
      <c r="B26" s="88">
        <f>C26*B14</f>
        <v>50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>
        <v>450</v>
      </c>
      <c r="N26" s="91"/>
    </row>
    <row r="27" spans="1:14" ht="14.4" x14ac:dyDescent="0.3">
      <c r="A27" s="3" t="s">
        <v>30</v>
      </c>
      <c r="B27" s="88">
        <f>F28/12</f>
        <v>254.16666666666666</v>
      </c>
      <c r="C27" s="98">
        <f>F27*B13/B14</f>
        <v>610</v>
      </c>
      <c r="D27" s="3" t="s">
        <v>85</v>
      </c>
      <c r="E27" s="3"/>
      <c r="F27" s="99">
        <v>0.01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>
        <v>1300</v>
      </c>
      <c r="N27" s="91" t="s">
        <v>108</v>
      </c>
    </row>
    <row r="28" spans="1:14" ht="14.4" x14ac:dyDescent="0.3">
      <c r="A28" s="3" t="s">
        <v>55</v>
      </c>
      <c r="B28" s="88">
        <f>-ROUND(PMT(F4/12,F3*12,F2),2)</f>
        <v>1447.19</v>
      </c>
      <c r="C28" s="3"/>
      <c r="D28" s="3"/>
      <c r="E28" s="3"/>
      <c r="F28" s="98">
        <f>F27*B13</f>
        <v>3050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/>
      <c r="N28" s="91"/>
    </row>
    <row r="29" spans="1:14" ht="14.4" x14ac:dyDescent="0.3">
      <c r="A29" s="241" t="s">
        <v>116</v>
      </c>
      <c r="B29" s="242">
        <f>-ROUND(PMT(F11/12,F10*12,F9),2)</f>
        <v>0</v>
      </c>
      <c r="G29" s="3"/>
      <c r="H29" s="3"/>
      <c r="I29" s="4" t="s">
        <v>93</v>
      </c>
      <c r="J29" s="6"/>
      <c r="L29" s="95">
        <f t="shared" si="0"/>
        <v>7</v>
      </c>
      <c r="M29" s="97"/>
      <c r="N29" s="91"/>
    </row>
    <row r="30" spans="1:14" ht="14.4" x14ac:dyDescent="0.3">
      <c r="A30" s="3" t="s">
        <v>32</v>
      </c>
      <c r="B30" s="88">
        <f>ROUND(C30/12,2)</f>
        <v>250</v>
      </c>
      <c r="C30" s="94">
        <v>3000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/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468.08</v>
      </c>
      <c r="C32" s="94">
        <v>5617</v>
      </c>
      <c r="D32" s="3" t="s">
        <v>91</v>
      </c>
      <c r="E32" s="3"/>
      <c r="F32" s="3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3137.2866666666669</v>
      </c>
      <c r="C33" s="98"/>
      <c r="D33" s="3"/>
      <c r="E33" s="3"/>
      <c r="F33" s="102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588.71333333333314</v>
      </c>
      <c r="C34" s="3"/>
      <c r="D34" s="3"/>
      <c r="E34" s="3"/>
      <c r="F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0</v>
      </c>
      <c r="H2" s="44" t="s">
        <v>53</v>
      </c>
      <c r="I2" s="45"/>
      <c r="J2" s="46" t="str">
        <f>IF(B4=0,"N/A",(B17/12-B33+B28)/B28)</f>
        <v>N/A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4.4179999999999997E-2</v>
      </c>
      <c r="K3" s="51"/>
      <c r="L3" s="52"/>
    </row>
    <row r="4" spans="1:16" ht="14.4" x14ac:dyDescent="0.3">
      <c r="A4" s="4" t="s">
        <v>67</v>
      </c>
      <c r="B4" s="53">
        <v>0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4.2867592177937001E-2</v>
      </c>
      <c r="K4" s="12"/>
      <c r="L4" s="56"/>
      <c r="N4" s="57"/>
      <c r="O4" s="58"/>
      <c r="P4" s="59" t="e">
        <f>(12*B34-(CUMPRINC(F4/12,F3*12,F2,1,12,0)))</f>
        <v>#NUM!</v>
      </c>
    </row>
    <row r="5" spans="1:16" ht="14.4" x14ac:dyDescent="0.3">
      <c r="A5" s="4" t="s">
        <v>70</v>
      </c>
      <c r="B5" s="60">
        <v>0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 t="e">
        <f>(F2+CUMPRINC(F4/12,F3*12,F2,1,L5*12,0))/(B13*(1+B7)^L5)</f>
        <v>#NUM!</v>
      </c>
      <c r="K5" s="3" t="s">
        <v>74</v>
      </c>
      <c r="L5" s="60">
        <v>10</v>
      </c>
      <c r="N5" s="57"/>
      <c r="P5" s="62">
        <f>0.03636*(B12+B13)</f>
        <v>4726.8</v>
      </c>
    </row>
    <row r="6" spans="1:16" ht="14.4" x14ac:dyDescent="0.3">
      <c r="A6" s="4" t="s">
        <v>71</v>
      </c>
      <c r="B6" s="63">
        <v>0.05</v>
      </c>
      <c r="C6" s="3"/>
      <c r="D6" s="64" t="s">
        <v>52</v>
      </c>
      <c r="E6" s="65"/>
      <c r="F6" s="66">
        <f>SUM(J20:J33)</f>
        <v>3980</v>
      </c>
      <c r="H6" s="55" t="s">
        <v>114</v>
      </c>
      <c r="I6" s="150"/>
      <c r="J6" s="227">
        <f>(B12+B13)-F2+F6+F5*F2-F9</f>
        <v>133980</v>
      </c>
      <c r="K6" s="12"/>
      <c r="L6" s="67"/>
      <c r="N6" s="57"/>
      <c r="P6" s="68" t="e">
        <f>P4-P5</f>
        <v>#NUM!</v>
      </c>
    </row>
    <row r="7" spans="1:16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 t="e">
        <f>P6*B8</f>
        <v>#NUM!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130000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130000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2</v>
      </c>
      <c r="C14" s="84" t="str">
        <f>IF(COUNT(M23:M122)=B14,IF(B15&lt;B14*L19,"Total Rent Seems Low - Check Assumptions",""),"Enter Rent For All Units")</f>
        <v>Total Rent Seems Low - Check Assumptions</v>
      </c>
      <c r="D14" s="3"/>
      <c r="E14" s="3"/>
    </row>
    <row r="15" spans="1:16" ht="13.8" x14ac:dyDescent="0.3">
      <c r="A15" s="4" t="s">
        <v>77</v>
      </c>
      <c r="B15" s="8">
        <f>L21</f>
        <v>1350</v>
      </c>
    </row>
    <row r="16" spans="1:16" ht="13.8" x14ac:dyDescent="0.3">
      <c r="A16" s="4" t="s">
        <v>78</v>
      </c>
      <c r="B16" s="108">
        <f>B15*12</f>
        <v>16200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(5% vacancy)</v>
      </c>
      <c r="B17" s="109">
        <f>B16*(1-B6)</f>
        <v>15390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800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200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28.13</v>
      </c>
      <c r="C21" s="89">
        <f>1/12</f>
        <v>8.3333333333333329E-2</v>
      </c>
      <c r="D21" s="3" t="s">
        <v>82</v>
      </c>
      <c r="E21" s="83">
        <v>4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1350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15.833333333333334</v>
      </c>
      <c r="C22" s="94">
        <v>100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31.666666666666668</v>
      </c>
      <c r="C23" s="94">
        <v>200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975</v>
      </c>
      <c r="L23" s="95">
        <v>1</v>
      </c>
      <c r="M23" s="97">
        <v>700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650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/>
      <c r="N25" s="91"/>
    </row>
    <row r="26" spans="1:14" ht="14.4" x14ac:dyDescent="0.3">
      <c r="A26" s="3" t="s">
        <v>29</v>
      </c>
      <c r="B26" s="88">
        <f>C26*B14</f>
        <v>0</v>
      </c>
      <c r="C26" s="94">
        <v>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/>
      <c r="N26" s="91"/>
    </row>
    <row r="27" spans="1:14" ht="14.4" x14ac:dyDescent="0.3">
      <c r="A27" s="3" t="s">
        <v>30</v>
      </c>
      <c r="B27" s="88">
        <f>F28/12</f>
        <v>108.33333333333333</v>
      </c>
      <c r="C27" s="98">
        <f>F27*B13/B14</f>
        <v>650</v>
      </c>
      <c r="D27" s="3" t="s">
        <v>85</v>
      </c>
      <c r="E27" s="3"/>
      <c r="F27" s="99">
        <v>0.01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/>
      <c r="N27" s="91"/>
    </row>
    <row r="28" spans="1:14" ht="14.4" x14ac:dyDescent="0.3">
      <c r="A28" s="3" t="s">
        <v>55</v>
      </c>
      <c r="B28" s="88">
        <f>-ROUND(PMT(F4/12,F3*12,F2),2)</f>
        <v>0</v>
      </c>
      <c r="C28" s="3"/>
      <c r="D28" s="3"/>
      <c r="E28" s="3"/>
      <c r="F28" s="98">
        <f>F27*B13</f>
        <v>1300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/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/>
      <c r="N29" s="91"/>
    </row>
    <row r="30" spans="1:14" ht="14.4" x14ac:dyDescent="0.3">
      <c r="A30" s="3" t="s">
        <v>32</v>
      </c>
      <c r="B30" s="88">
        <f>ROUND(C30/12,2)</f>
        <v>166.67</v>
      </c>
      <c r="C30" s="94">
        <v>2000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/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253.25</v>
      </c>
      <c r="C32" s="94">
        <v>3039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803.88333333333333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478.61666666666667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120000</v>
      </c>
      <c r="H2" s="44" t="s">
        <v>53</v>
      </c>
      <c r="I2" s="45"/>
      <c r="J2" s="46">
        <f>IF(B4=0,"N/A",(B17/12-B33+B28)/B28)</f>
        <v>2.4168576622144946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0.14678639999999998</v>
      </c>
      <c r="K3" s="51"/>
      <c r="L3" s="52"/>
    </row>
    <row r="4" spans="1:16" ht="14.4" x14ac:dyDescent="0.3">
      <c r="A4" s="4" t="s">
        <v>67</v>
      </c>
      <c r="B4" s="53">
        <v>0.8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0.37736588218096773</v>
      </c>
      <c r="K4" s="12"/>
      <c r="L4" s="56"/>
      <c r="N4" s="57"/>
      <c r="O4" s="58"/>
      <c r="P4" s="59">
        <f>(12*B34-(CUMPRINC(F4/12,F3*12,F2,1,12,0)))</f>
        <v>16695.437524915957</v>
      </c>
    </row>
    <row r="5" spans="1:16" ht="14.4" x14ac:dyDescent="0.3">
      <c r="A5" s="4" t="s">
        <v>70</v>
      </c>
      <c r="B5" s="60">
        <v>5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>
        <f>(F2+CUMPRINC(F4/12,F3*12,F2,1,L5*12,0))/(B13*(1+B7)^L5)</f>
        <v>0.61146632713858728</v>
      </c>
      <c r="K5" s="3" t="s">
        <v>74</v>
      </c>
      <c r="L5" s="60">
        <f>B5</f>
        <v>5</v>
      </c>
      <c r="N5" s="57"/>
      <c r="P5" s="62">
        <f>0.03636*(B12+B13)</f>
        <v>5454.0000000000009</v>
      </c>
    </row>
    <row r="6" spans="1:16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4205</v>
      </c>
      <c r="H6" s="55" t="s">
        <v>114</v>
      </c>
      <c r="I6" s="150"/>
      <c r="J6" s="227">
        <f>(B12+B13)-F2+F6+F5*F2-F9</f>
        <v>34205</v>
      </c>
      <c r="K6" s="12"/>
      <c r="L6" s="67"/>
      <c r="N6" s="57"/>
      <c r="P6" s="68">
        <f>P4-P5</f>
        <v>11241.437524915957</v>
      </c>
    </row>
    <row r="7" spans="1:16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>
        <f>P6*B8</f>
        <v>224.82875049831912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200000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10000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140000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6</v>
      </c>
      <c r="C14" s="84" t="str">
        <f>IF(COUNT(M23:M122)=B14,IF(B15&lt;B14*L19,"Total Rent Seems Low - Check Assumptions",""),"Enter Rent For All Units")</f>
        <v>Total Rent Seems Low - Check Assumptions</v>
      </c>
      <c r="D14" s="3"/>
      <c r="E14" s="3"/>
    </row>
    <row r="15" spans="1:16" ht="13.8" x14ac:dyDescent="0.3">
      <c r="A15" s="4" t="s">
        <v>77</v>
      </c>
      <c r="B15" s="8">
        <f>L21</f>
        <v>3900</v>
      </c>
    </row>
    <row r="16" spans="1:16" ht="13.8" x14ac:dyDescent="0.3">
      <c r="A16" s="4" t="s">
        <v>78</v>
      </c>
      <c r="B16" s="108">
        <f>B15*12</f>
        <v>46800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(8% vacancy)</v>
      </c>
      <c r="B17" s="109">
        <f>B16*(1-B6)</f>
        <v>43056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750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358.8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162.5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500</v>
      </c>
      <c r="L21" s="92">
        <f>SUM(M23:M122)</f>
        <v>3900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230</v>
      </c>
      <c r="C22" s="94">
        <v>500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230</v>
      </c>
      <c r="C23" s="94">
        <v>500</v>
      </c>
      <c r="D23" s="3" t="s">
        <v>85</v>
      </c>
      <c r="E23" s="3"/>
      <c r="F23" s="3"/>
      <c r="G23" s="3"/>
      <c r="H23" s="7">
        <v>5.0000000000000001E-3</v>
      </c>
      <c r="I23" s="4" t="s">
        <v>6</v>
      </c>
      <c r="J23" s="8">
        <f>ROUND(H23*B13, 0)</f>
        <v>700</v>
      </c>
      <c r="L23" s="95">
        <v>1</v>
      </c>
      <c r="M23" s="97">
        <v>650</v>
      </c>
      <c r="N23" s="91"/>
    </row>
    <row r="24" spans="1:14" ht="14.4" x14ac:dyDescent="0.3">
      <c r="A24" s="3" t="s">
        <v>27</v>
      </c>
      <c r="B24" s="88">
        <f>(C24*B14)*(1-B6)</f>
        <v>55.2</v>
      </c>
      <c r="C24" s="94">
        <v>10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650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650</v>
      </c>
      <c r="N25" s="91"/>
    </row>
    <row r="26" spans="1:14" ht="14.4" x14ac:dyDescent="0.3">
      <c r="A26" s="3" t="s">
        <v>29</v>
      </c>
      <c r="B26" s="88">
        <f>C26*B14</f>
        <v>0</v>
      </c>
      <c r="C26" s="94">
        <v>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>
        <v>650</v>
      </c>
      <c r="N26" s="91"/>
    </row>
    <row r="27" spans="1:14" ht="14.4" x14ac:dyDescent="0.3">
      <c r="A27" s="3" t="s">
        <v>30</v>
      </c>
      <c r="B27" s="88">
        <f>F28/12</f>
        <v>175</v>
      </c>
      <c r="C27" s="98">
        <f>F27*B13/B14</f>
        <v>350</v>
      </c>
      <c r="D27" s="3" t="s">
        <v>85</v>
      </c>
      <c r="E27" s="3"/>
      <c r="F27" s="99">
        <v>1.4999999999999999E-2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>
        <v>650</v>
      </c>
      <c r="N27" s="91"/>
    </row>
    <row r="28" spans="1:14" ht="14.4" x14ac:dyDescent="0.3">
      <c r="A28" s="3" t="s">
        <v>55</v>
      </c>
      <c r="B28" s="88">
        <f>-ROUND(PMT(F4/12,F3*12,F2),2)</f>
        <v>759.18</v>
      </c>
      <c r="C28" s="3"/>
      <c r="D28" s="3"/>
      <c r="E28" s="3"/>
      <c r="F28" s="98">
        <f>F27*B13</f>
        <v>2100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>
        <v>650</v>
      </c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/>
      <c r="N29" s="91"/>
    </row>
    <row r="30" spans="1:14" ht="14.4" x14ac:dyDescent="0.3">
      <c r="A30" s="3" t="s">
        <v>32</v>
      </c>
      <c r="B30" s="88">
        <f>ROUND(C30/12,2)</f>
        <v>250</v>
      </c>
      <c r="C30" s="94">
        <v>3000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/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291.67</v>
      </c>
      <c r="C32" s="94">
        <v>3500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2512.35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1075.6500000000001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0</v>
      </c>
      <c r="H2" s="44" t="s">
        <v>53</v>
      </c>
      <c r="I2" s="45"/>
      <c r="J2" s="46" t="e">
        <f>IF(B4=0,"N/A",(B17/12-B33+B28)/B28)</f>
        <v>#DIV/0!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 t="e">
        <f>(((B17/12)-SUM(B20:B27)-SUM(B30:B32))*12)/(B12+B13)</f>
        <v>#DIV/0!</v>
      </c>
      <c r="K3" s="51"/>
      <c r="L3" s="52"/>
    </row>
    <row r="4" spans="1:16" ht="14.4" x14ac:dyDescent="0.3">
      <c r="A4" s="4" t="s">
        <v>67</v>
      </c>
      <c r="B4" s="53">
        <v>1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-1.9998668885191349</v>
      </c>
      <c r="K4" s="12"/>
      <c r="L4" s="56"/>
      <c r="N4" s="57"/>
      <c r="O4" s="58"/>
      <c r="P4" s="59" t="e">
        <f>(12*B34-(CUMPRINC(F4/12,F3*12,F2,1,12,0)))</f>
        <v>#NUM!</v>
      </c>
    </row>
    <row r="5" spans="1:16" ht="14.4" x14ac:dyDescent="0.3">
      <c r="A5" s="4" t="s">
        <v>70</v>
      </c>
      <c r="B5" s="60">
        <v>0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 t="e">
        <f>(F2+CUMPRINC(F4/12,F3*12,F2,1,L5*12,0))/(B13*(1+B7)^L5)</f>
        <v>#NUM!</v>
      </c>
      <c r="K5" s="3" t="s">
        <v>74</v>
      </c>
      <c r="L5" s="60">
        <f>B5</f>
        <v>0</v>
      </c>
      <c r="N5" s="57"/>
      <c r="P5" s="62">
        <f>0.03636*(B12+B13)</f>
        <v>0</v>
      </c>
    </row>
    <row r="6" spans="1:16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3005</v>
      </c>
      <c r="H6" s="55" t="s">
        <v>114</v>
      </c>
      <c r="I6" s="150"/>
      <c r="J6" s="227">
        <f>(B12+B13)-F2+F6+F5*F2-F9</f>
        <v>3005</v>
      </c>
      <c r="K6" s="12"/>
      <c r="L6" s="67"/>
      <c r="N6" s="57"/>
      <c r="P6" s="68" t="e">
        <f>P4-P5</f>
        <v>#NUM!</v>
      </c>
    </row>
    <row r="7" spans="1:16" ht="14.4" x14ac:dyDescent="0.3">
      <c r="A7" s="4" t="s">
        <v>72</v>
      </c>
      <c r="B7" s="63">
        <v>0.03</v>
      </c>
      <c r="C7" s="3"/>
      <c r="D7" s="3"/>
      <c r="E7" s="11"/>
      <c r="F7" s="69"/>
      <c r="H7" s="55"/>
      <c r="I7" s="20"/>
      <c r="L7" s="91"/>
      <c r="N7" s="70"/>
      <c r="P7" s="68" t="e">
        <f>P6*B8</f>
        <v>#NUM!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8</v>
      </c>
      <c r="C14" s="84" t="str">
        <f>IF(COUNT(M23:M122)=B14,IF(B15&lt;B14*L19,"Total Rent Seems Low - Check Assumptions",""),"Enter Rent For All Units")</f>
        <v>Total Rent Seems Low - Check Assumptions</v>
      </c>
      <c r="D14" s="3"/>
      <c r="E14" s="3"/>
    </row>
    <row r="15" spans="1:16" ht="13.8" x14ac:dyDescent="0.3">
      <c r="A15" s="4" t="s">
        <v>77</v>
      </c>
      <c r="B15" s="8">
        <f>L21</f>
        <v>0</v>
      </c>
    </row>
    <row r="16" spans="1:16" ht="13.8" x14ac:dyDescent="0.3">
      <c r="A16" s="4" t="s">
        <v>78</v>
      </c>
      <c r="B16" s="108">
        <f>B15*12</f>
        <v>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(8% vacancy)</v>
      </c>
      <c r="B17" s="109">
        <f>B16*(1-B6)</f>
        <v>0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800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200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0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73.600000000000009</v>
      </c>
      <c r="C22" s="94">
        <v>120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147.20000000000002</v>
      </c>
      <c r="C23" s="94">
        <v>240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0</v>
      </c>
      <c r="L23" s="95">
        <v>1</v>
      </c>
      <c r="M23" s="97">
        <v>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>
        <v>0</v>
      </c>
      <c r="N25" s="91"/>
    </row>
    <row r="26" spans="1:14" ht="14.4" x14ac:dyDescent="0.3">
      <c r="A26" s="3" t="s">
        <v>29</v>
      </c>
      <c r="B26" s="88">
        <f>C26*B14</f>
        <v>80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>
        <v>0</v>
      </c>
      <c r="N26" s="91"/>
    </row>
    <row r="27" spans="1:14" ht="14.4" x14ac:dyDescent="0.3">
      <c r="A27" s="3" t="s">
        <v>30</v>
      </c>
      <c r="B27" s="88">
        <f>F28/12</f>
        <v>0</v>
      </c>
      <c r="C27" s="98">
        <f>F27*B13/B14</f>
        <v>0</v>
      </c>
      <c r="D27" s="3" t="s">
        <v>85</v>
      </c>
      <c r="E27" s="3"/>
      <c r="F27" s="99">
        <v>1.4999999999999999E-2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>
        <v>0</v>
      </c>
      <c r="N27" s="91"/>
    </row>
    <row r="28" spans="1:14" ht="14.4" x14ac:dyDescent="0.3">
      <c r="A28" s="3" t="s">
        <v>55</v>
      </c>
      <c r="B28" s="88">
        <f>-ROUND(PMT(F4/12,F3*12,F2),2)</f>
        <v>0</v>
      </c>
      <c r="C28" s="3"/>
      <c r="D28" s="3"/>
      <c r="E28" s="3"/>
      <c r="F28" s="98">
        <f>F27*B13</f>
        <v>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>
        <v>0</v>
      </c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>
        <v>0</v>
      </c>
      <c r="N29" s="91"/>
    </row>
    <row r="30" spans="1:14" ht="14.4" x14ac:dyDescent="0.3">
      <c r="A30" s="3" t="s">
        <v>32</v>
      </c>
      <c r="B30" s="88">
        <f>ROUND(C30/12,2)</f>
        <v>0</v>
      </c>
      <c r="C30" s="94">
        <v>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>
        <v>0</v>
      </c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0</v>
      </c>
      <c r="C32" s="94">
        <v>0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500.80000000000007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-500.80000000000007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28"/>
  <sheetViews>
    <sheetView workbookViewId="0">
      <selection activeCell="B1" sqref="B1"/>
    </sheetView>
  </sheetViews>
  <sheetFormatPr defaultRowHeight="13.2" x14ac:dyDescent="0.25"/>
  <cols>
    <col min="1" max="1" width="23.5546875" customWidth="1"/>
    <col min="2" max="2" width="14.109375" customWidth="1"/>
    <col min="3" max="4" width="12.6640625" customWidth="1"/>
    <col min="5" max="5" width="7.109375" customWidth="1"/>
    <col min="6" max="6" width="14.21875" customWidth="1"/>
    <col min="7" max="7" width="8.6640625" customWidth="1"/>
    <col min="8" max="8" width="12.6640625" customWidth="1"/>
    <col min="9" max="9" width="14.33203125" customWidth="1"/>
    <col min="10" max="10" width="12.6640625" customWidth="1"/>
    <col min="11" max="11" width="9.109375" customWidth="1"/>
    <col min="12" max="12" width="9.21875" customWidth="1"/>
    <col min="13" max="13" width="12.5546875" customWidth="1"/>
    <col min="14" max="14" width="20.21875" customWidth="1"/>
    <col min="15" max="15" width="15.5546875" customWidth="1"/>
    <col min="16" max="16" width="11.6640625" customWidth="1"/>
  </cols>
  <sheetData>
    <row r="1" spans="1:16" ht="13.8" x14ac:dyDescent="0.3">
      <c r="A1" s="34" t="s">
        <v>15</v>
      </c>
      <c r="B1" s="35"/>
      <c r="C1" s="3"/>
      <c r="D1" s="36" t="s">
        <v>61</v>
      </c>
      <c r="E1" s="37"/>
      <c r="F1" s="38"/>
      <c r="H1" s="36" t="s">
        <v>62</v>
      </c>
      <c r="I1" s="39"/>
      <c r="J1" s="39"/>
      <c r="K1" s="39"/>
      <c r="L1" s="40"/>
    </row>
    <row r="2" spans="1:16" ht="13.8" x14ac:dyDescent="0.3">
      <c r="A2" s="4" t="s">
        <v>63</v>
      </c>
      <c r="B2" s="41"/>
      <c r="C2" s="3"/>
      <c r="D2" s="42" t="s">
        <v>64</v>
      </c>
      <c r="E2" s="11"/>
      <c r="F2" s="43">
        <f>B4*(B13+B12)</f>
        <v>190000</v>
      </c>
      <c r="H2" s="44" t="s">
        <v>53</v>
      </c>
      <c r="I2" s="45"/>
      <c r="J2" s="46">
        <f>IF(B4=0,"N/A",(B17/12-B33+B28)/B28)</f>
        <v>1.1313028792958577</v>
      </c>
      <c r="K2" s="47" t="s">
        <v>117</v>
      </c>
      <c r="L2" s="48"/>
      <c r="N2" s="49"/>
    </row>
    <row r="3" spans="1:16" ht="13.8" x14ac:dyDescent="0.3">
      <c r="A3" s="42" t="s">
        <v>65</v>
      </c>
      <c r="B3" s="50">
        <v>0</v>
      </c>
      <c r="C3" s="3"/>
      <c r="D3" s="42" t="s">
        <v>66</v>
      </c>
      <c r="E3" s="11"/>
      <c r="F3" s="41">
        <v>20</v>
      </c>
      <c r="H3" s="55" t="s">
        <v>69</v>
      </c>
      <c r="J3" s="51">
        <f>(((B17/12)-SUM(B20:B27)-SUM(B30:B32))*12)/(B12+B13)</f>
        <v>8.5885894736842119E-2</v>
      </c>
      <c r="K3" s="51"/>
      <c r="L3" s="52"/>
    </row>
    <row r="4" spans="1:16" ht="14.4" x14ac:dyDescent="0.3">
      <c r="A4" s="4" t="s">
        <v>67</v>
      </c>
      <c r="B4" s="53">
        <v>1</v>
      </c>
      <c r="C4" s="3"/>
      <c r="D4" s="4" t="s">
        <v>68</v>
      </c>
      <c r="E4" s="11"/>
      <c r="F4" s="54">
        <v>4.4999999999999998E-2</v>
      </c>
      <c r="H4" s="137" t="s">
        <v>0</v>
      </c>
      <c r="I4" s="142"/>
      <c r="J4" s="226">
        <f>(12*B34)/J6</f>
        <v>0.45858595641646466</v>
      </c>
      <c r="K4" s="12"/>
      <c r="L4" s="56"/>
      <c r="N4" s="57"/>
      <c r="O4" s="58"/>
      <c r="P4" s="59">
        <f>(12*B34-(CUMPRINC(F4/12,F3*12,F2,1,12,0)))</f>
        <v>7891.0527477835958</v>
      </c>
    </row>
    <row r="5" spans="1:16" ht="14.4" x14ac:dyDescent="0.3">
      <c r="A5" s="4" t="s">
        <v>70</v>
      </c>
      <c r="B5" s="60">
        <v>5</v>
      </c>
      <c r="C5" s="3"/>
      <c r="D5" s="4" t="s">
        <v>13</v>
      </c>
      <c r="E5" s="11"/>
      <c r="F5" s="61">
        <v>0</v>
      </c>
      <c r="H5" s="137" t="s">
        <v>73</v>
      </c>
      <c r="I5" s="150"/>
      <c r="J5" s="151">
        <f>(F2+CUMPRINC(F4/12,F3*12,F2,1,L5*12,0))/(B13*(1+B7)^L5)</f>
        <v>0.9036113501048012</v>
      </c>
      <c r="K5" s="3" t="s">
        <v>74</v>
      </c>
      <c r="L5" s="60">
        <f>B5</f>
        <v>5</v>
      </c>
      <c r="N5" s="57"/>
      <c r="P5" s="62">
        <f>0.03636*(B12+B13)</f>
        <v>6908.4000000000005</v>
      </c>
    </row>
    <row r="6" spans="1:16" ht="14.4" x14ac:dyDescent="0.3">
      <c r="A6" s="4" t="s">
        <v>71</v>
      </c>
      <c r="B6" s="63">
        <v>0.08</v>
      </c>
      <c r="C6" s="3"/>
      <c r="D6" s="64" t="s">
        <v>52</v>
      </c>
      <c r="E6" s="65"/>
      <c r="F6" s="66">
        <f>SUM(J20:J33)</f>
        <v>4130</v>
      </c>
      <c r="H6" s="55" t="s">
        <v>114</v>
      </c>
      <c r="I6" s="150"/>
      <c r="J6" s="227">
        <f>(B12+B13)-F2+F6+F5*F2-F9</f>
        <v>4130</v>
      </c>
      <c r="K6" s="12"/>
      <c r="L6" s="67"/>
      <c r="N6" s="57"/>
      <c r="P6" s="68">
        <f>P4-P5</f>
        <v>982.65274778359526</v>
      </c>
    </row>
    <row r="7" spans="1:16" ht="14.4" x14ac:dyDescent="0.3">
      <c r="A7" s="4" t="s">
        <v>72</v>
      </c>
      <c r="B7" s="63">
        <v>0.03</v>
      </c>
      <c r="C7" s="3"/>
      <c r="H7" s="55"/>
      <c r="I7" s="20"/>
      <c r="L7" s="91"/>
      <c r="N7" s="70"/>
      <c r="P7" s="68">
        <f>P6*B8</f>
        <v>19.653054955671905</v>
      </c>
    </row>
    <row r="8" spans="1:16" ht="14.4" x14ac:dyDescent="0.3">
      <c r="A8" s="4" t="s">
        <v>94</v>
      </c>
      <c r="B8" s="63">
        <v>0.02</v>
      </c>
      <c r="C8" s="3"/>
      <c r="D8" s="228" t="s">
        <v>115</v>
      </c>
      <c r="E8" s="229"/>
      <c r="F8" s="230"/>
      <c r="H8" s="55"/>
      <c r="I8" s="20"/>
      <c r="J8" s="71"/>
      <c r="K8" s="3"/>
      <c r="L8" s="56"/>
      <c r="N8" s="57"/>
      <c r="P8" s="68"/>
    </row>
    <row r="9" spans="1:16" ht="14.4" x14ac:dyDescent="0.3">
      <c r="A9" s="64" t="s">
        <v>95</v>
      </c>
      <c r="B9" s="110">
        <v>0.02</v>
      </c>
      <c r="C9" s="3"/>
      <c r="D9" s="231" t="s">
        <v>64</v>
      </c>
      <c r="E9" s="232"/>
      <c r="F9" s="233">
        <v>0</v>
      </c>
      <c r="H9" s="55"/>
      <c r="I9" s="20"/>
      <c r="J9" s="73"/>
      <c r="K9" s="11"/>
      <c r="L9" s="41"/>
      <c r="P9" s="68"/>
    </row>
    <row r="10" spans="1:16" ht="14.4" x14ac:dyDescent="0.3">
      <c r="A10" s="3"/>
      <c r="B10" s="3"/>
      <c r="C10" s="3"/>
      <c r="D10" s="231" t="s">
        <v>66</v>
      </c>
      <c r="E10" s="232"/>
      <c r="F10" s="234">
        <v>10</v>
      </c>
      <c r="H10" s="74"/>
      <c r="I10" s="75"/>
      <c r="J10" s="76"/>
      <c r="K10" s="77"/>
      <c r="L10" s="78"/>
      <c r="O10" s="79"/>
      <c r="P10" s="68"/>
    </row>
    <row r="11" spans="1:16" ht="13.8" x14ac:dyDescent="0.3">
      <c r="A11" s="34" t="s">
        <v>75</v>
      </c>
      <c r="B11" s="80">
        <v>150000</v>
      </c>
      <c r="C11" s="81"/>
      <c r="D11" s="235" t="s">
        <v>68</v>
      </c>
      <c r="E11" s="232"/>
      <c r="F11" s="236">
        <v>0.1</v>
      </c>
      <c r="K11" s="11"/>
      <c r="L11" s="11"/>
    </row>
    <row r="12" spans="1:16" ht="13.8" x14ac:dyDescent="0.3">
      <c r="A12" s="4" t="s">
        <v>97</v>
      </c>
      <c r="B12" s="82">
        <v>40000</v>
      </c>
      <c r="C12" s="81"/>
      <c r="D12" s="235" t="s">
        <v>13</v>
      </c>
      <c r="E12" s="232"/>
      <c r="F12" s="237">
        <v>0</v>
      </c>
    </row>
    <row r="13" spans="1:16" ht="13.8" x14ac:dyDescent="0.3">
      <c r="A13" s="4" t="s">
        <v>76</v>
      </c>
      <c r="B13" s="6">
        <v>150000</v>
      </c>
      <c r="D13" s="238" t="s">
        <v>52</v>
      </c>
      <c r="E13" s="239"/>
      <c r="F13" s="240">
        <v>0</v>
      </c>
    </row>
    <row r="14" spans="1:16" ht="13.8" x14ac:dyDescent="0.3">
      <c r="A14" s="4" t="s">
        <v>45</v>
      </c>
      <c r="B14" s="83">
        <v>2</v>
      </c>
      <c r="C14" s="84" t="str">
        <f>IF(COUNT(M23:M122)=B14,IF(B15&lt;B14*L19,"Total Rent Seems Low - Check Assumptions",""),"Enter Rent For All Units")</f>
        <v/>
      </c>
      <c r="D14" s="3"/>
      <c r="E14" s="3"/>
    </row>
    <row r="15" spans="1:16" ht="13.8" x14ac:dyDescent="0.3">
      <c r="A15" s="4" t="s">
        <v>77</v>
      </c>
      <c r="B15" s="8">
        <f>L21</f>
        <v>2800</v>
      </c>
    </row>
    <row r="16" spans="1:16" ht="13.8" x14ac:dyDescent="0.3">
      <c r="A16" s="4" t="s">
        <v>78</v>
      </c>
      <c r="B16" s="108">
        <f>B15*12</f>
        <v>33600</v>
      </c>
      <c r="C16" s="4"/>
      <c r="D16" s="3"/>
      <c r="E16" s="3"/>
    </row>
    <row r="17" spans="1:14" ht="13.8" x14ac:dyDescent="0.3">
      <c r="A17" s="64" t="str">
        <f>"Annual Revenue ("&amp;TEXT(B6,"0%")&amp;" vacancy)"</f>
        <v>Annual Revenue (8% vacancy)</v>
      </c>
      <c r="B17" s="109">
        <f>B16*(1-B6)</f>
        <v>30912</v>
      </c>
      <c r="C17" s="3"/>
      <c r="D17" s="3"/>
      <c r="E17" s="3"/>
    </row>
    <row r="18" spans="1:14" ht="13.8" x14ac:dyDescent="0.3">
      <c r="A18" s="3"/>
      <c r="B18" s="3"/>
      <c r="C18" s="3"/>
      <c r="D18" s="3"/>
      <c r="E18" s="3"/>
    </row>
    <row r="19" spans="1:14" ht="14.4" x14ac:dyDescent="0.3">
      <c r="A19" s="77" t="s">
        <v>79</v>
      </c>
      <c r="B19" s="3"/>
      <c r="C19" s="3"/>
      <c r="D19" s="3"/>
      <c r="E19" s="3"/>
      <c r="F19" s="3"/>
      <c r="G19" s="3"/>
      <c r="H19" s="2"/>
      <c r="I19" s="223" t="s">
        <v>1</v>
      </c>
      <c r="J19" s="224"/>
      <c r="L19" s="85">
        <v>800</v>
      </c>
      <c r="M19" s="86" t="s">
        <v>80</v>
      </c>
      <c r="N19" s="87"/>
    </row>
    <row r="20" spans="1:14" ht="13.8" x14ac:dyDescent="0.3">
      <c r="A20" s="3" t="s">
        <v>23</v>
      </c>
      <c r="B20" s="88">
        <f>MAX(ROUND(C20*(B17/12),2),E20)</f>
        <v>257.60000000000002</v>
      </c>
      <c r="C20" s="89">
        <v>0.1</v>
      </c>
      <c r="D20" s="3" t="s">
        <v>81</v>
      </c>
      <c r="E20" s="118">
        <v>200</v>
      </c>
      <c r="F20" s="116" t="s">
        <v>109</v>
      </c>
      <c r="G20" s="3"/>
      <c r="H20" s="3"/>
      <c r="I20" s="4" t="s">
        <v>2</v>
      </c>
      <c r="J20" s="5">
        <v>500</v>
      </c>
      <c r="L20" s="90"/>
      <c r="N20" s="91"/>
    </row>
    <row r="21" spans="1:14" ht="14.4" x14ac:dyDescent="0.3">
      <c r="A21" s="3" t="s">
        <v>24</v>
      </c>
      <c r="B21" s="88">
        <f>ROUND(B15*C21/E21,2)</f>
        <v>116.67</v>
      </c>
      <c r="C21" s="89">
        <f>1/12</f>
        <v>8.3333333333333329E-2</v>
      </c>
      <c r="D21" s="3" t="s">
        <v>82</v>
      </c>
      <c r="E21" s="83">
        <v>2</v>
      </c>
      <c r="F21" s="3" t="s">
        <v>83</v>
      </c>
      <c r="G21" s="3"/>
      <c r="H21" s="3"/>
      <c r="I21" s="4" t="s">
        <v>3</v>
      </c>
      <c r="J21" s="6">
        <v>0</v>
      </c>
      <c r="L21" s="92">
        <f>SUM(M23:M122)</f>
        <v>2800</v>
      </c>
      <c r="M21" s="93" t="s">
        <v>84</v>
      </c>
      <c r="N21" s="91"/>
    </row>
    <row r="22" spans="1:14" ht="13.8" x14ac:dyDescent="0.3">
      <c r="A22" s="3" t="s">
        <v>25</v>
      </c>
      <c r="B22" s="88">
        <f>(C22*B14/12)*(1-B6)</f>
        <v>18.400000000000002</v>
      </c>
      <c r="C22" s="94">
        <v>120</v>
      </c>
      <c r="D22" s="3" t="s">
        <v>85</v>
      </c>
      <c r="E22" s="3"/>
      <c r="F22" s="3"/>
      <c r="G22" s="3"/>
      <c r="H22" s="3" t="s">
        <v>4</v>
      </c>
      <c r="I22" s="4" t="s">
        <v>5</v>
      </c>
      <c r="J22" s="6">
        <v>900</v>
      </c>
      <c r="L22" s="95" t="s">
        <v>86</v>
      </c>
      <c r="M22" s="96" t="s">
        <v>87</v>
      </c>
      <c r="N22" s="91"/>
    </row>
    <row r="23" spans="1:14" ht="14.4" x14ac:dyDescent="0.3">
      <c r="A23" s="3" t="s">
        <v>26</v>
      </c>
      <c r="B23" s="88">
        <f>(C23*B14/12)*(1-B6)</f>
        <v>36.800000000000004</v>
      </c>
      <c r="C23" s="94">
        <v>240</v>
      </c>
      <c r="D23" s="3" t="s">
        <v>85</v>
      </c>
      <c r="E23" s="3"/>
      <c r="F23" s="3"/>
      <c r="G23" s="3"/>
      <c r="H23" s="7">
        <v>7.4999999999999997E-3</v>
      </c>
      <c r="I23" s="4" t="s">
        <v>6</v>
      </c>
      <c r="J23" s="8">
        <f>ROUND(H23*B13, 0)</f>
        <v>1125</v>
      </c>
      <c r="L23" s="95">
        <v>1</v>
      </c>
      <c r="M23" s="97">
        <v>1500</v>
      </c>
      <c r="N23" s="91"/>
    </row>
    <row r="24" spans="1:14" ht="14.4" x14ac:dyDescent="0.3">
      <c r="A24" s="3" t="s">
        <v>27</v>
      </c>
      <c r="B24" s="88">
        <f>(C24*B14)*(1-B6)</f>
        <v>0</v>
      </c>
      <c r="C24" s="94">
        <v>0</v>
      </c>
      <c r="D24" s="3" t="s">
        <v>88</v>
      </c>
      <c r="E24" s="3"/>
      <c r="F24" s="3"/>
      <c r="G24" s="3"/>
      <c r="H24" s="3"/>
      <c r="I24" s="4" t="s">
        <v>7</v>
      </c>
      <c r="J24" s="6">
        <v>800</v>
      </c>
      <c r="L24" s="95">
        <f>L23+1</f>
        <v>2</v>
      </c>
      <c r="M24" s="97">
        <v>1300</v>
      </c>
      <c r="N24" s="91"/>
    </row>
    <row r="25" spans="1:14" ht="14.4" x14ac:dyDescent="0.3">
      <c r="A25" s="3" t="s">
        <v>28</v>
      </c>
      <c r="B25" s="88">
        <f>(C25*B14)*(1-B6)</f>
        <v>0</v>
      </c>
      <c r="C25" s="94">
        <v>0</v>
      </c>
      <c r="D25" s="3" t="s">
        <v>88</v>
      </c>
      <c r="E25" s="3"/>
      <c r="F25" s="3"/>
      <c r="G25" s="3"/>
      <c r="H25" s="3"/>
      <c r="I25" s="4" t="s">
        <v>8</v>
      </c>
      <c r="J25" s="6">
        <v>125</v>
      </c>
      <c r="L25" s="95">
        <f>L24+1</f>
        <v>3</v>
      </c>
      <c r="M25" s="97"/>
      <c r="N25" s="91"/>
    </row>
    <row r="26" spans="1:14" ht="14.4" x14ac:dyDescent="0.3">
      <c r="A26" s="3" t="s">
        <v>29</v>
      </c>
      <c r="B26" s="88">
        <f>C26*B14</f>
        <v>20</v>
      </c>
      <c r="C26" s="94">
        <v>10</v>
      </c>
      <c r="D26" s="3" t="s">
        <v>88</v>
      </c>
      <c r="E26" s="3"/>
      <c r="F26" s="3"/>
      <c r="G26" s="3"/>
      <c r="H26" s="3"/>
      <c r="I26" s="4" t="s">
        <v>9</v>
      </c>
      <c r="J26" s="6">
        <v>30</v>
      </c>
      <c r="L26" s="95">
        <f t="shared" ref="L26:L89" si="0">L25+1</f>
        <v>4</v>
      </c>
      <c r="M26" s="97"/>
      <c r="N26" s="91"/>
    </row>
    <row r="27" spans="1:14" ht="14.4" x14ac:dyDescent="0.3">
      <c r="A27" s="3" t="s">
        <v>30</v>
      </c>
      <c r="B27" s="88">
        <f>F28/12</f>
        <v>250</v>
      </c>
      <c r="C27" s="98">
        <f>F27*B13/B14</f>
        <v>1500</v>
      </c>
      <c r="D27" s="3" t="s">
        <v>85</v>
      </c>
      <c r="E27" s="3"/>
      <c r="F27" s="99">
        <v>0.02</v>
      </c>
      <c r="G27" s="3" t="s">
        <v>89</v>
      </c>
      <c r="H27" s="3"/>
      <c r="I27" s="4" t="s">
        <v>10</v>
      </c>
      <c r="J27" s="6">
        <v>50</v>
      </c>
      <c r="L27" s="95">
        <f t="shared" si="0"/>
        <v>5</v>
      </c>
      <c r="M27" s="97"/>
      <c r="N27" s="91"/>
    </row>
    <row r="28" spans="1:14" ht="14.4" x14ac:dyDescent="0.3">
      <c r="A28" s="3" t="s">
        <v>55</v>
      </c>
      <c r="B28" s="88">
        <f>-ROUND(PMT(F4/12,F3*12,F2),2)</f>
        <v>1202.03</v>
      </c>
      <c r="C28" s="3"/>
      <c r="D28" s="3"/>
      <c r="E28" s="3"/>
      <c r="F28" s="98">
        <f>F27*B13</f>
        <v>3000</v>
      </c>
      <c r="G28" s="3" t="s">
        <v>90</v>
      </c>
      <c r="H28" s="3"/>
      <c r="I28" s="4" t="s">
        <v>11</v>
      </c>
      <c r="J28" s="6">
        <v>600</v>
      </c>
      <c r="L28" s="95">
        <f t="shared" si="0"/>
        <v>6</v>
      </c>
      <c r="M28" s="97"/>
      <c r="N28" s="91"/>
    </row>
    <row r="29" spans="1:14" ht="14.4" x14ac:dyDescent="0.3">
      <c r="A29" s="241" t="s">
        <v>116</v>
      </c>
      <c r="B29" s="242">
        <f>-ROUND(PMT(F11/12,F10*12,F9),2)</f>
        <v>0</v>
      </c>
      <c r="F29" s="3"/>
      <c r="G29" s="3"/>
      <c r="H29" s="3"/>
      <c r="I29" s="4" t="s">
        <v>93</v>
      </c>
      <c r="J29" s="6"/>
      <c r="L29" s="95">
        <f t="shared" si="0"/>
        <v>7</v>
      </c>
      <c r="M29" s="97"/>
      <c r="N29" s="91"/>
    </row>
    <row r="30" spans="1:14" ht="14.4" x14ac:dyDescent="0.3">
      <c r="A30" s="3" t="s">
        <v>32</v>
      </c>
      <c r="B30" s="88">
        <f>ROUND(C30/12,2)</f>
        <v>166.67</v>
      </c>
      <c r="C30" s="94">
        <v>2000</v>
      </c>
      <c r="D30" s="3" t="s">
        <v>91</v>
      </c>
      <c r="E30" s="3"/>
      <c r="F30" s="3"/>
      <c r="G30" s="3"/>
      <c r="H30" s="3"/>
      <c r="I30" s="4" t="s">
        <v>93</v>
      </c>
      <c r="J30" s="6"/>
      <c r="L30" s="95">
        <f t="shared" si="0"/>
        <v>8</v>
      </c>
      <c r="M30" s="97"/>
      <c r="N30" s="91"/>
    </row>
    <row r="31" spans="1:14" ht="14.4" x14ac:dyDescent="0.3">
      <c r="A31" s="3" t="s">
        <v>33</v>
      </c>
      <c r="B31" s="88">
        <f>ROUND(C31/12,2)</f>
        <v>0</v>
      </c>
      <c r="C31" s="94">
        <v>0</v>
      </c>
      <c r="D31" s="3" t="s">
        <v>91</v>
      </c>
      <c r="E31" s="3"/>
      <c r="F31" s="3"/>
      <c r="G31" s="3"/>
      <c r="H31" s="3"/>
      <c r="I31" s="4" t="s">
        <v>93</v>
      </c>
      <c r="J31" s="6"/>
      <c r="L31" s="95">
        <f t="shared" si="0"/>
        <v>9</v>
      </c>
      <c r="M31" s="97"/>
      <c r="N31" s="91"/>
    </row>
    <row r="32" spans="1:14" ht="14.4" x14ac:dyDescent="0.3">
      <c r="A32" s="3" t="s">
        <v>34</v>
      </c>
      <c r="B32" s="100">
        <f>ROUND(C32/12,2)</f>
        <v>350</v>
      </c>
      <c r="C32" s="94">
        <v>4200</v>
      </c>
      <c r="D32" s="3" t="s">
        <v>91</v>
      </c>
      <c r="E32" s="3"/>
      <c r="F32" s="102"/>
      <c r="G32" s="3"/>
      <c r="H32" s="3"/>
      <c r="I32" s="4" t="s">
        <v>93</v>
      </c>
      <c r="J32" s="6"/>
      <c r="L32" s="95">
        <f t="shared" si="0"/>
        <v>10</v>
      </c>
      <c r="M32" s="97"/>
      <c r="N32" s="91"/>
    </row>
    <row r="33" spans="1:14" ht="14.4" x14ac:dyDescent="0.3">
      <c r="A33" s="101" t="s">
        <v>12</v>
      </c>
      <c r="B33" s="100">
        <f>SUM(B20:B32)</f>
        <v>2418.17</v>
      </c>
      <c r="C33" s="98"/>
      <c r="D33" s="3"/>
      <c r="E33" s="3"/>
      <c r="F33" s="3"/>
      <c r="G33" s="3"/>
      <c r="H33" s="3"/>
      <c r="I33" s="64" t="s">
        <v>93</v>
      </c>
      <c r="J33" s="9"/>
      <c r="L33" s="95">
        <f t="shared" si="0"/>
        <v>11</v>
      </c>
      <c r="M33" s="97"/>
      <c r="N33" s="91"/>
    </row>
    <row r="34" spans="1:14" ht="14.4" x14ac:dyDescent="0.3">
      <c r="A34" s="101" t="s">
        <v>92</v>
      </c>
      <c r="B34" s="103">
        <f>(B17/12)-B33</f>
        <v>157.82999999999993</v>
      </c>
      <c r="C34" s="3"/>
      <c r="D34" s="3"/>
      <c r="E34" s="3"/>
      <c r="J34" s="26"/>
      <c r="L34" s="95">
        <f t="shared" si="0"/>
        <v>12</v>
      </c>
      <c r="M34" s="97"/>
      <c r="N34" s="91"/>
    </row>
    <row r="35" spans="1:14" ht="14.4" x14ac:dyDescent="0.3">
      <c r="J35" s="26"/>
      <c r="L35" s="95">
        <f t="shared" si="0"/>
        <v>13</v>
      </c>
      <c r="M35" s="97"/>
      <c r="N35" s="91"/>
    </row>
    <row r="36" spans="1:14" ht="14.4" x14ac:dyDescent="0.3">
      <c r="J36" s="26"/>
      <c r="L36" s="95">
        <f t="shared" si="0"/>
        <v>14</v>
      </c>
      <c r="M36" s="97"/>
      <c r="N36" s="91"/>
    </row>
    <row r="37" spans="1:14" ht="14.4" x14ac:dyDescent="0.3">
      <c r="J37" s="26"/>
      <c r="L37" s="95">
        <f t="shared" si="0"/>
        <v>15</v>
      </c>
      <c r="M37" s="97"/>
      <c r="N37" s="91"/>
    </row>
    <row r="38" spans="1:14" ht="14.4" x14ac:dyDescent="0.3">
      <c r="J38" s="26"/>
      <c r="L38" s="95">
        <f t="shared" si="0"/>
        <v>16</v>
      </c>
      <c r="M38" s="97"/>
      <c r="N38" s="91"/>
    </row>
    <row r="39" spans="1:14" ht="14.4" x14ac:dyDescent="0.3">
      <c r="J39" s="26"/>
      <c r="L39" s="95">
        <f t="shared" si="0"/>
        <v>17</v>
      </c>
      <c r="M39" s="97"/>
      <c r="N39" s="91"/>
    </row>
    <row r="40" spans="1:14" ht="14.4" x14ac:dyDescent="0.3">
      <c r="L40" s="95">
        <f t="shared" si="0"/>
        <v>18</v>
      </c>
      <c r="M40" s="97"/>
      <c r="N40" s="91"/>
    </row>
    <row r="41" spans="1:14" ht="14.4" x14ac:dyDescent="0.3">
      <c r="L41" s="95">
        <f t="shared" si="0"/>
        <v>19</v>
      </c>
      <c r="M41" s="97"/>
      <c r="N41" s="91"/>
    </row>
    <row r="42" spans="1:14" ht="14.4" x14ac:dyDescent="0.3">
      <c r="L42" s="95">
        <f t="shared" si="0"/>
        <v>20</v>
      </c>
      <c r="M42" s="97"/>
      <c r="N42" s="91"/>
    </row>
    <row r="43" spans="1:14" ht="14.4" x14ac:dyDescent="0.3">
      <c r="L43" s="95">
        <f t="shared" si="0"/>
        <v>21</v>
      </c>
      <c r="M43" s="97"/>
      <c r="N43" s="91"/>
    </row>
    <row r="44" spans="1:14" ht="14.4" x14ac:dyDescent="0.3">
      <c r="L44" s="95">
        <f t="shared" si="0"/>
        <v>22</v>
      </c>
      <c r="M44" s="97"/>
      <c r="N44" s="91"/>
    </row>
    <row r="45" spans="1:14" ht="14.4" x14ac:dyDescent="0.3">
      <c r="L45" s="95">
        <f t="shared" si="0"/>
        <v>23</v>
      </c>
      <c r="M45" s="97"/>
      <c r="N45" s="91"/>
    </row>
    <row r="46" spans="1:14" ht="14.4" x14ac:dyDescent="0.3">
      <c r="L46" s="95">
        <f t="shared" si="0"/>
        <v>24</v>
      </c>
      <c r="M46" s="97"/>
      <c r="N46" s="91"/>
    </row>
    <row r="47" spans="1:14" ht="14.4" x14ac:dyDescent="0.3">
      <c r="L47" s="95">
        <f t="shared" si="0"/>
        <v>25</v>
      </c>
      <c r="M47" s="97"/>
      <c r="N47" s="91"/>
    </row>
    <row r="48" spans="1:14" ht="14.4" x14ac:dyDescent="0.3">
      <c r="L48" s="95">
        <f t="shared" si="0"/>
        <v>26</v>
      </c>
      <c r="M48" s="97"/>
      <c r="N48" s="91"/>
    </row>
    <row r="49" spans="12:14" ht="14.4" x14ac:dyDescent="0.3">
      <c r="L49" s="95">
        <f t="shared" si="0"/>
        <v>27</v>
      </c>
      <c r="M49" s="97"/>
      <c r="N49" s="91"/>
    </row>
    <row r="50" spans="12:14" ht="14.4" x14ac:dyDescent="0.3">
      <c r="L50" s="95">
        <f t="shared" si="0"/>
        <v>28</v>
      </c>
      <c r="M50" s="97"/>
      <c r="N50" s="91"/>
    </row>
    <row r="51" spans="12:14" ht="14.4" x14ac:dyDescent="0.3">
      <c r="L51" s="95">
        <f t="shared" si="0"/>
        <v>29</v>
      </c>
      <c r="M51" s="97"/>
      <c r="N51" s="91"/>
    </row>
    <row r="52" spans="12:14" ht="14.4" x14ac:dyDescent="0.3">
      <c r="L52" s="95">
        <f t="shared" si="0"/>
        <v>30</v>
      </c>
      <c r="M52" s="97"/>
      <c r="N52" s="91"/>
    </row>
    <row r="53" spans="12:14" ht="14.4" x14ac:dyDescent="0.3">
      <c r="L53" s="95">
        <f t="shared" si="0"/>
        <v>31</v>
      </c>
      <c r="M53" s="97"/>
      <c r="N53" s="91"/>
    </row>
    <row r="54" spans="12:14" ht="14.4" x14ac:dyDescent="0.3">
      <c r="L54" s="95">
        <f t="shared" si="0"/>
        <v>32</v>
      </c>
      <c r="M54" s="97"/>
      <c r="N54" s="91"/>
    </row>
    <row r="55" spans="12:14" ht="14.4" x14ac:dyDescent="0.3">
      <c r="L55" s="95">
        <f t="shared" si="0"/>
        <v>33</v>
      </c>
      <c r="M55" s="97"/>
      <c r="N55" s="91"/>
    </row>
    <row r="56" spans="12:14" ht="14.4" x14ac:dyDescent="0.3">
      <c r="L56" s="95">
        <f t="shared" si="0"/>
        <v>34</v>
      </c>
      <c r="M56" s="97"/>
      <c r="N56" s="91"/>
    </row>
    <row r="57" spans="12:14" ht="14.4" x14ac:dyDescent="0.3">
      <c r="L57" s="95">
        <f t="shared" si="0"/>
        <v>35</v>
      </c>
      <c r="M57" s="97"/>
      <c r="N57" s="91"/>
    </row>
    <row r="58" spans="12:14" ht="14.4" x14ac:dyDescent="0.3">
      <c r="L58" s="95">
        <f t="shared" si="0"/>
        <v>36</v>
      </c>
      <c r="M58" s="97"/>
      <c r="N58" s="91"/>
    </row>
    <row r="59" spans="12:14" ht="14.4" x14ac:dyDescent="0.3">
      <c r="L59" s="95">
        <f t="shared" si="0"/>
        <v>37</v>
      </c>
      <c r="M59" s="97"/>
      <c r="N59" s="91"/>
    </row>
    <row r="60" spans="12:14" ht="14.4" x14ac:dyDescent="0.3">
      <c r="L60" s="95">
        <f t="shared" si="0"/>
        <v>38</v>
      </c>
      <c r="M60" s="97"/>
      <c r="N60" s="91"/>
    </row>
    <row r="61" spans="12:14" ht="14.4" x14ac:dyDescent="0.3">
      <c r="L61" s="95">
        <f t="shared" si="0"/>
        <v>39</v>
      </c>
      <c r="M61" s="97"/>
      <c r="N61" s="91"/>
    </row>
    <row r="62" spans="12:14" ht="14.4" x14ac:dyDescent="0.3">
      <c r="L62" s="95">
        <f t="shared" si="0"/>
        <v>40</v>
      </c>
      <c r="M62" s="97"/>
      <c r="N62" s="91"/>
    </row>
    <row r="63" spans="12:14" ht="14.4" x14ac:dyDescent="0.3">
      <c r="L63" s="95">
        <f t="shared" si="0"/>
        <v>41</v>
      </c>
      <c r="M63" s="97"/>
      <c r="N63" s="91"/>
    </row>
    <row r="64" spans="12:14" ht="14.4" x14ac:dyDescent="0.3">
      <c r="L64" s="95">
        <f t="shared" si="0"/>
        <v>42</v>
      </c>
      <c r="M64" s="97"/>
      <c r="N64" s="91"/>
    </row>
    <row r="65" spans="12:14" ht="14.4" x14ac:dyDescent="0.3">
      <c r="L65" s="95">
        <f t="shared" si="0"/>
        <v>43</v>
      </c>
      <c r="M65" s="97"/>
      <c r="N65" s="91"/>
    </row>
    <row r="66" spans="12:14" ht="14.4" x14ac:dyDescent="0.3">
      <c r="L66" s="95">
        <f t="shared" si="0"/>
        <v>44</v>
      </c>
      <c r="M66" s="97"/>
      <c r="N66" s="91"/>
    </row>
    <row r="67" spans="12:14" ht="14.4" x14ac:dyDescent="0.3">
      <c r="L67" s="95">
        <f t="shared" si="0"/>
        <v>45</v>
      </c>
      <c r="M67" s="97"/>
      <c r="N67" s="91"/>
    </row>
    <row r="68" spans="12:14" ht="14.4" x14ac:dyDescent="0.3">
      <c r="L68" s="95">
        <f t="shared" si="0"/>
        <v>46</v>
      </c>
      <c r="M68" s="97"/>
      <c r="N68" s="91"/>
    </row>
    <row r="69" spans="12:14" ht="14.4" x14ac:dyDescent="0.3">
      <c r="L69" s="95">
        <f t="shared" si="0"/>
        <v>47</v>
      </c>
      <c r="M69" s="97"/>
      <c r="N69" s="91"/>
    </row>
    <row r="70" spans="12:14" ht="14.4" x14ac:dyDescent="0.3">
      <c r="L70" s="95">
        <f t="shared" si="0"/>
        <v>48</v>
      </c>
      <c r="M70" s="97"/>
      <c r="N70" s="91"/>
    </row>
    <row r="71" spans="12:14" ht="14.4" x14ac:dyDescent="0.3">
      <c r="L71" s="95">
        <f t="shared" si="0"/>
        <v>49</v>
      </c>
      <c r="M71" s="97"/>
      <c r="N71" s="91"/>
    </row>
    <row r="72" spans="12:14" ht="14.4" x14ac:dyDescent="0.3">
      <c r="L72" s="95">
        <f t="shared" si="0"/>
        <v>50</v>
      </c>
      <c r="M72" s="97"/>
      <c r="N72" s="91"/>
    </row>
    <row r="73" spans="12:14" ht="14.4" x14ac:dyDescent="0.3">
      <c r="L73" s="95">
        <f t="shared" si="0"/>
        <v>51</v>
      </c>
      <c r="M73" s="97"/>
      <c r="N73" s="91"/>
    </row>
    <row r="74" spans="12:14" ht="14.4" x14ac:dyDescent="0.3">
      <c r="L74" s="95">
        <f t="shared" si="0"/>
        <v>52</v>
      </c>
      <c r="M74" s="97"/>
      <c r="N74" s="91"/>
    </row>
    <row r="75" spans="12:14" ht="14.4" x14ac:dyDescent="0.3">
      <c r="L75" s="95">
        <f t="shared" si="0"/>
        <v>53</v>
      </c>
      <c r="M75" s="97"/>
      <c r="N75" s="91"/>
    </row>
    <row r="76" spans="12:14" ht="14.4" x14ac:dyDescent="0.3">
      <c r="L76" s="95">
        <f t="shared" si="0"/>
        <v>54</v>
      </c>
      <c r="M76" s="97"/>
      <c r="N76" s="91"/>
    </row>
    <row r="77" spans="12:14" ht="14.4" x14ac:dyDescent="0.3">
      <c r="L77" s="95">
        <f t="shared" si="0"/>
        <v>55</v>
      </c>
      <c r="M77" s="97"/>
      <c r="N77" s="91"/>
    </row>
    <row r="78" spans="12:14" ht="14.4" x14ac:dyDescent="0.3">
      <c r="L78" s="95">
        <f t="shared" si="0"/>
        <v>56</v>
      </c>
      <c r="M78" s="97"/>
      <c r="N78" s="91"/>
    </row>
    <row r="79" spans="12:14" ht="14.4" x14ac:dyDescent="0.3">
      <c r="L79" s="95">
        <f t="shared" si="0"/>
        <v>57</v>
      </c>
      <c r="M79" s="97"/>
      <c r="N79" s="91"/>
    </row>
    <row r="80" spans="12:14" ht="14.4" x14ac:dyDescent="0.3">
      <c r="L80" s="95">
        <f t="shared" si="0"/>
        <v>58</v>
      </c>
      <c r="M80" s="97"/>
      <c r="N80" s="91"/>
    </row>
    <row r="81" spans="12:14" ht="14.4" x14ac:dyDescent="0.3">
      <c r="L81" s="95">
        <f t="shared" si="0"/>
        <v>59</v>
      </c>
      <c r="M81" s="97"/>
      <c r="N81" s="91"/>
    </row>
    <row r="82" spans="12:14" ht="14.4" x14ac:dyDescent="0.3">
      <c r="L82" s="95">
        <f t="shared" si="0"/>
        <v>60</v>
      </c>
      <c r="M82" s="97"/>
      <c r="N82" s="91"/>
    </row>
    <row r="83" spans="12:14" ht="14.4" x14ac:dyDescent="0.3">
      <c r="L83" s="95">
        <f t="shared" si="0"/>
        <v>61</v>
      </c>
      <c r="M83" s="97"/>
      <c r="N83" s="91"/>
    </row>
    <row r="84" spans="12:14" ht="14.4" x14ac:dyDescent="0.3">
      <c r="L84" s="95">
        <f t="shared" si="0"/>
        <v>62</v>
      </c>
      <c r="M84" s="97"/>
      <c r="N84" s="91"/>
    </row>
    <row r="85" spans="12:14" ht="14.4" x14ac:dyDescent="0.3">
      <c r="L85" s="95">
        <f t="shared" si="0"/>
        <v>63</v>
      </c>
      <c r="M85" s="97"/>
      <c r="N85" s="91"/>
    </row>
    <row r="86" spans="12:14" ht="14.4" x14ac:dyDescent="0.3">
      <c r="L86" s="95">
        <f t="shared" si="0"/>
        <v>64</v>
      </c>
      <c r="M86" s="97"/>
      <c r="N86" s="91"/>
    </row>
    <row r="87" spans="12:14" ht="14.4" x14ac:dyDescent="0.3">
      <c r="L87" s="95">
        <f t="shared" si="0"/>
        <v>65</v>
      </c>
      <c r="M87" s="97"/>
      <c r="N87" s="91"/>
    </row>
    <row r="88" spans="12:14" ht="14.4" x14ac:dyDescent="0.3">
      <c r="L88" s="95">
        <f t="shared" si="0"/>
        <v>66</v>
      </c>
      <c r="M88" s="97"/>
      <c r="N88" s="91"/>
    </row>
    <row r="89" spans="12:14" ht="14.4" x14ac:dyDescent="0.3">
      <c r="L89" s="95">
        <f t="shared" si="0"/>
        <v>67</v>
      </c>
      <c r="M89" s="97"/>
      <c r="N89" s="91"/>
    </row>
    <row r="90" spans="12:14" ht="14.4" x14ac:dyDescent="0.3">
      <c r="L90" s="95">
        <f t="shared" ref="L90:L122" si="1">L89+1</f>
        <v>68</v>
      </c>
      <c r="M90" s="97"/>
      <c r="N90" s="91"/>
    </row>
    <row r="91" spans="12:14" ht="14.4" x14ac:dyDescent="0.3">
      <c r="L91" s="95">
        <f t="shared" si="1"/>
        <v>69</v>
      </c>
      <c r="M91" s="97"/>
      <c r="N91" s="91"/>
    </row>
    <row r="92" spans="12:14" ht="14.4" x14ac:dyDescent="0.3">
      <c r="L92" s="95">
        <f t="shared" si="1"/>
        <v>70</v>
      </c>
      <c r="M92" s="97"/>
      <c r="N92" s="91"/>
    </row>
    <row r="93" spans="12:14" ht="14.4" x14ac:dyDescent="0.3">
      <c r="L93" s="95">
        <f t="shared" si="1"/>
        <v>71</v>
      </c>
      <c r="M93" s="97"/>
      <c r="N93" s="91"/>
    </row>
    <row r="94" spans="12:14" ht="14.4" x14ac:dyDescent="0.3">
      <c r="L94" s="95">
        <f t="shared" si="1"/>
        <v>72</v>
      </c>
      <c r="M94" s="97"/>
      <c r="N94" s="91"/>
    </row>
    <row r="95" spans="12:14" ht="14.4" x14ac:dyDescent="0.3">
      <c r="L95" s="95">
        <f t="shared" si="1"/>
        <v>73</v>
      </c>
      <c r="M95" s="97"/>
      <c r="N95" s="91"/>
    </row>
    <row r="96" spans="12:14" ht="14.4" x14ac:dyDescent="0.3">
      <c r="L96" s="95">
        <f t="shared" si="1"/>
        <v>74</v>
      </c>
      <c r="M96" s="97"/>
      <c r="N96" s="91"/>
    </row>
    <row r="97" spans="12:14" ht="14.4" x14ac:dyDescent="0.3">
      <c r="L97" s="95">
        <f t="shared" si="1"/>
        <v>75</v>
      </c>
      <c r="M97" s="97"/>
      <c r="N97" s="91"/>
    </row>
    <row r="98" spans="12:14" ht="14.4" x14ac:dyDescent="0.3">
      <c r="L98" s="95">
        <f t="shared" si="1"/>
        <v>76</v>
      </c>
      <c r="M98" s="97"/>
      <c r="N98" s="91"/>
    </row>
    <row r="99" spans="12:14" ht="14.4" x14ac:dyDescent="0.3">
      <c r="L99" s="95">
        <f t="shared" si="1"/>
        <v>77</v>
      </c>
      <c r="M99" s="97"/>
      <c r="N99" s="91"/>
    </row>
    <row r="100" spans="12:14" ht="14.4" x14ac:dyDescent="0.3">
      <c r="L100" s="95">
        <f t="shared" si="1"/>
        <v>78</v>
      </c>
      <c r="M100" s="97"/>
      <c r="N100" s="91"/>
    </row>
    <row r="101" spans="12:14" ht="14.4" x14ac:dyDescent="0.3">
      <c r="L101" s="95">
        <f t="shared" si="1"/>
        <v>79</v>
      </c>
      <c r="M101" s="97"/>
      <c r="N101" s="91"/>
    </row>
    <row r="102" spans="12:14" ht="14.4" x14ac:dyDescent="0.3">
      <c r="L102" s="95">
        <f t="shared" si="1"/>
        <v>80</v>
      </c>
      <c r="M102" s="97"/>
      <c r="N102" s="91"/>
    </row>
    <row r="103" spans="12:14" ht="14.4" x14ac:dyDescent="0.3">
      <c r="L103" s="95">
        <f t="shared" si="1"/>
        <v>81</v>
      </c>
      <c r="M103" s="97"/>
      <c r="N103" s="91"/>
    </row>
    <row r="104" spans="12:14" ht="14.4" x14ac:dyDescent="0.3">
      <c r="L104" s="95">
        <f t="shared" si="1"/>
        <v>82</v>
      </c>
      <c r="M104" s="97"/>
      <c r="N104" s="91"/>
    </row>
    <row r="105" spans="12:14" ht="14.4" x14ac:dyDescent="0.3">
      <c r="L105" s="95">
        <f t="shared" si="1"/>
        <v>83</v>
      </c>
      <c r="M105" s="97"/>
      <c r="N105" s="91"/>
    </row>
    <row r="106" spans="12:14" ht="14.4" x14ac:dyDescent="0.3">
      <c r="L106" s="95">
        <f t="shared" si="1"/>
        <v>84</v>
      </c>
      <c r="M106" s="97"/>
      <c r="N106" s="91"/>
    </row>
    <row r="107" spans="12:14" ht="14.4" x14ac:dyDescent="0.3">
      <c r="L107" s="95">
        <f t="shared" si="1"/>
        <v>85</v>
      </c>
      <c r="M107" s="97"/>
      <c r="N107" s="91"/>
    </row>
    <row r="108" spans="12:14" ht="14.4" x14ac:dyDescent="0.3">
      <c r="L108" s="95">
        <f t="shared" si="1"/>
        <v>86</v>
      </c>
      <c r="M108" s="97"/>
      <c r="N108" s="91"/>
    </row>
    <row r="109" spans="12:14" ht="14.4" x14ac:dyDescent="0.3">
      <c r="L109" s="95">
        <f t="shared" si="1"/>
        <v>87</v>
      </c>
      <c r="M109" s="97"/>
      <c r="N109" s="91"/>
    </row>
    <row r="110" spans="12:14" ht="14.4" x14ac:dyDescent="0.3">
      <c r="L110" s="95">
        <f t="shared" si="1"/>
        <v>88</v>
      </c>
      <c r="M110" s="97"/>
      <c r="N110" s="91"/>
    </row>
    <row r="111" spans="12:14" ht="14.4" x14ac:dyDescent="0.3">
      <c r="L111" s="95">
        <f t="shared" si="1"/>
        <v>89</v>
      </c>
      <c r="M111" s="97"/>
      <c r="N111" s="91"/>
    </row>
    <row r="112" spans="12:14" ht="14.4" x14ac:dyDescent="0.3">
      <c r="L112" s="95">
        <f t="shared" si="1"/>
        <v>90</v>
      </c>
      <c r="M112" s="97"/>
      <c r="N112" s="91"/>
    </row>
    <row r="113" spans="11:14" ht="14.4" x14ac:dyDescent="0.3">
      <c r="L113" s="95">
        <f t="shared" si="1"/>
        <v>91</v>
      </c>
      <c r="M113" s="97"/>
      <c r="N113" s="91"/>
    </row>
    <row r="114" spans="11:14" ht="14.4" x14ac:dyDescent="0.3">
      <c r="L114" s="95">
        <f t="shared" si="1"/>
        <v>92</v>
      </c>
      <c r="M114" s="97"/>
      <c r="N114" s="91"/>
    </row>
    <row r="115" spans="11:14" ht="14.4" x14ac:dyDescent="0.3">
      <c r="L115" s="95">
        <f t="shared" si="1"/>
        <v>93</v>
      </c>
      <c r="M115" s="97"/>
      <c r="N115" s="91"/>
    </row>
    <row r="116" spans="11:14" ht="14.4" x14ac:dyDescent="0.3">
      <c r="L116" s="95">
        <f t="shared" si="1"/>
        <v>94</v>
      </c>
      <c r="M116" s="97"/>
      <c r="N116" s="91"/>
    </row>
    <row r="117" spans="11:14" ht="14.4" x14ac:dyDescent="0.3">
      <c r="K117" s="96"/>
      <c r="L117" s="95">
        <f t="shared" si="1"/>
        <v>95</v>
      </c>
      <c r="M117" s="97"/>
      <c r="N117" s="91"/>
    </row>
    <row r="118" spans="11:14" ht="14.4" x14ac:dyDescent="0.3">
      <c r="K118" s="96"/>
      <c r="L118" s="95">
        <f t="shared" si="1"/>
        <v>96</v>
      </c>
      <c r="M118" s="97"/>
      <c r="N118" s="91"/>
    </row>
    <row r="119" spans="11:14" ht="14.4" x14ac:dyDescent="0.3">
      <c r="K119" s="96"/>
      <c r="L119" s="95">
        <f t="shared" si="1"/>
        <v>97</v>
      </c>
      <c r="M119" s="97"/>
      <c r="N119" s="91"/>
    </row>
    <row r="120" spans="11:14" ht="14.4" x14ac:dyDescent="0.3">
      <c r="K120" s="96"/>
      <c r="L120" s="95">
        <f t="shared" si="1"/>
        <v>98</v>
      </c>
      <c r="M120" s="97"/>
      <c r="N120" s="91"/>
    </row>
    <row r="121" spans="11:14" ht="14.4" x14ac:dyDescent="0.3">
      <c r="K121" s="96"/>
      <c r="L121" s="95">
        <f t="shared" si="1"/>
        <v>99</v>
      </c>
      <c r="M121" s="97"/>
      <c r="N121" s="91"/>
    </row>
    <row r="122" spans="11:14" ht="14.4" x14ac:dyDescent="0.3">
      <c r="K122" s="96"/>
      <c r="L122" s="104">
        <f t="shared" si="1"/>
        <v>100</v>
      </c>
      <c r="M122" s="105"/>
      <c r="N122" s="72"/>
    </row>
    <row r="123" spans="11:14" x14ac:dyDescent="0.25">
      <c r="K123" s="96"/>
    </row>
    <row r="124" spans="11:14" x14ac:dyDescent="0.25">
      <c r="K124" s="96"/>
    </row>
    <row r="125" spans="11:14" x14ac:dyDescent="0.25">
      <c r="K125" s="96"/>
    </row>
    <row r="126" spans="11:14" x14ac:dyDescent="0.25">
      <c r="K126" s="96"/>
    </row>
    <row r="127" spans="11:14" x14ac:dyDescent="0.25">
      <c r="K127" s="96"/>
    </row>
    <row r="128" spans="11:14" x14ac:dyDescent="0.25">
      <c r="K128" s="96"/>
    </row>
  </sheetData>
  <mergeCells count="1">
    <mergeCell ref="I19:J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2</vt:i4>
      </vt:variant>
    </vt:vector>
  </HeadingPairs>
  <TitlesOfParts>
    <vt:vector size="13" baseType="lpstr">
      <vt:lpstr>Detailed Pro Forma</vt:lpstr>
      <vt:lpstr>Property 1</vt:lpstr>
      <vt:lpstr>Property 2</vt:lpstr>
      <vt:lpstr>Property 3</vt:lpstr>
      <vt:lpstr>Property 4</vt:lpstr>
      <vt:lpstr>Property 5</vt:lpstr>
      <vt:lpstr>Property 6</vt:lpstr>
      <vt:lpstr>Property 7</vt:lpstr>
      <vt:lpstr>Property 8</vt:lpstr>
      <vt:lpstr>Property 9</vt:lpstr>
      <vt:lpstr>Property 10</vt:lpstr>
      <vt:lpstr>'Detailed Pro Forma'!Print_Area</vt:lpstr>
      <vt:lpstr>'Property 1'!Print_Area</vt:lpstr>
    </vt:vector>
  </TitlesOfParts>
  <Company>RealData,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Gallinelli</dc:creator>
  <cp:lastModifiedBy>John Gerstenlauer</cp:lastModifiedBy>
  <cp:lastPrinted>2017-07-05T11:24:25Z</cp:lastPrinted>
  <dcterms:created xsi:type="dcterms:W3CDTF">2000-10-05T18:11:28Z</dcterms:created>
  <dcterms:modified xsi:type="dcterms:W3CDTF">2025-04-18T12:48:36Z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i4>20</vt:i4>
  </property>
  <property fmtid="{D5CDD505-2E9C-101B-9397-08002B2CF9AE}" pid="3" name="Refresh">
    <vt:bool>true</vt:bool>
  </property>
  <property fmtid="{D5CDD505-2E9C-101B-9397-08002B2CF9AE}" pid="4" name="Refresh97">
    <vt:bool>false</vt:bool>
  </property>
  <property fmtid="{D5CDD505-2E9C-101B-9397-08002B2CF9AE}" pid="5" name="tabName">
    <vt:lpwstr>Sent</vt:lpwstr>
  </property>
  <property fmtid="{D5CDD505-2E9C-101B-9397-08002B2CF9AE}" pid="6" name="tabIndex">
    <vt:lpwstr>1062</vt:lpwstr>
  </property>
  <property fmtid="{D5CDD505-2E9C-101B-9397-08002B2CF9AE}" pid="7" name="workpaperIndex">
    <vt:lpwstr/>
  </property>
</Properties>
</file>